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omments4.xml" ContentType="application/vnd.openxmlformats-officedocument.spreadsheetml.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0.xml" ContentType="application/vnd.openxmlformats-officedocument.spreadsheetml.pivotTable+xml"/>
  <Override PartName="/xl/drawings/drawing12.xml" ContentType="application/vnd.openxmlformats-officedocument.drawing+xml"/>
  <Override PartName="/xl/tables/table1.xml" ContentType="application/vnd.openxmlformats-officedocument.spreadsheetml.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8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12.xml" ContentType="application/vnd.openxmlformats-officedocument.spreadsheetml.pivotTable+xml"/>
  <Override PartName="/xl/drawings/drawing20.xml" ContentType="application/vnd.openxmlformats-officedocument.drawing+xml"/>
  <Override PartName="/xl/comments5.xml" ContentType="application/vnd.openxmlformats-officedocument.spreadsheetml.comment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omments6.xml" ContentType="application/vnd.openxmlformats-officedocument.spreadsheetml.comment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13.xml" ContentType="application/vnd.openxmlformats-officedocument.spreadsheetml.pivotTable+xml"/>
  <Override PartName="/xl/drawings/drawing23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24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25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expofreight.sharepoint.com/sites/LPPL_DSASTeam/Shared Documents/General/Team members Docs/Sathruhan/Reports- WH utilization/"/>
    </mc:Choice>
  </mc:AlternateContent>
  <xr:revisionPtr revIDLastSave="2031" documentId="13_ncr:1_{B7050505-5758-4D0F-A1AC-CC68EFD56E41}" xr6:coauthVersionLast="47" xr6:coauthVersionMax="47" xr10:uidLastSave="{38FBD282-005E-49DB-BF45-1D457697A860}"/>
  <bookViews>
    <workbookView xWindow="-120" yWindow="-120" windowWidth="29040" windowHeight="15720" tabRatio="756" firstSheet="14" activeTab="16" xr2:uid="{00000000-000D-0000-FFFF-FFFF00000000}"/>
  </bookViews>
  <sheets>
    <sheet name="Sheet2" sheetId="2" state="hidden" r:id="rId1"/>
    <sheet name="Monthly" sheetId="3" state="hidden" r:id="rId2"/>
    <sheet name="Sheet4" sheetId="5" state="hidden" r:id="rId3"/>
    <sheet name="Utilization" sheetId="6" r:id="rId4"/>
    <sheet name="unoccupied cbm" sheetId="7" state="hidden" r:id="rId5"/>
    <sheet name="sellable" sheetId="8" state="hidden" r:id="rId6"/>
    <sheet name="SheetPannal1" sheetId="13" state="hidden" r:id="rId7"/>
    <sheet name="WH Occupancy Trend Analysis" sheetId="15" state="hidden" r:id="rId8"/>
    <sheet name="Cumulative Cost6" sheetId="19" state="hidden" r:id="rId9"/>
    <sheet name="All WH (2)" sheetId="27" state="hidden" r:id="rId10"/>
    <sheet name="DATA Enter" sheetId="35" r:id="rId11"/>
    <sheet name="Average Sellable Space (Monday)" sheetId="33" r:id="rId12"/>
    <sheet name="Sheet3" sheetId="32" state="hidden" r:id="rId13"/>
    <sheet name="Sheet1" sheetId="17" state="hidden" r:id="rId14"/>
    <sheet name="WH Occu. trend Analysis" sheetId="16" r:id="rId15"/>
    <sheet name="Summary Report" sheetId="29" r:id="rId16"/>
    <sheet name="Detailed Report" sheetId="31" r:id="rId17"/>
    <sheet name="NISHAN (Tuseday)" sheetId="30" r:id="rId18"/>
    <sheet name="MASTER_DATA" sheetId="36" r:id="rId19"/>
    <sheet name="Sellable.V Trend Analysis" sheetId="34" state="hidden" r:id="rId20"/>
    <sheet name="Sellable Space Index" sheetId="28" r:id="rId21"/>
    <sheet name="All WH" sheetId="1" r:id="rId22"/>
    <sheet name="New format -All WH" sheetId="21" r:id="rId23"/>
    <sheet name="Table" sheetId="22" r:id="rId24"/>
    <sheet name="100% Occupancy" sheetId="25" r:id="rId25"/>
    <sheet name="VAS" sheetId="26" state="hidden" r:id="rId26"/>
    <sheet name="kandana uti" sheetId="12" state="hidden" r:id="rId27"/>
    <sheet name="kandana sel" sheetId="11" state="hidden" r:id="rId28"/>
  </sheets>
  <externalReferences>
    <externalReference r:id="rId29"/>
  </externalReferences>
  <definedNames>
    <definedName name="_xlnm._FilterDatabase" localSheetId="18" hidden="1">MASTER_DATA!$A$29:$C$29</definedName>
  </definedNames>
  <calcPr calcId="191028" calcCompleted="0"/>
  <pivotCaches>
    <pivotCache cacheId="1" r:id="rId30"/>
    <pivotCache cacheId="2" r:id="rId31"/>
    <pivotCache cacheId="3" r:id="rId32"/>
    <pivotCache cacheId="4" r:id="rId33"/>
    <pivotCache cacheId="5" r:id="rId34"/>
    <pivotCache cacheId="6" r:id="rId35"/>
    <pivotCache cacheId="7" r:id="rId36"/>
    <pivotCache cacheId="8" r:id="rId37"/>
    <pivotCache cacheId="9" r:id="rId38"/>
    <pivotCache cacheId="10" r:id="rId39"/>
    <pivotCache cacheId="11" r:id="rId40"/>
    <pivotCache cacheId="12" r:id="rId41"/>
    <pivotCache cacheId="13" r:id="rId42"/>
    <pivotCache cacheId="14" r:id="rId43"/>
    <pivotCache cacheId="15" r:id="rId4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1" i="28" l="1"/>
  <c r="C3" i="28"/>
  <c r="C8" i="28" s="1"/>
  <c r="D8" i="28"/>
  <c r="H60" i="31"/>
  <c r="A178" i="33"/>
  <c r="B178" i="33"/>
  <c r="A177" i="33"/>
  <c r="B177" i="33"/>
  <c r="A883" i="16"/>
  <c r="A884" i="16"/>
  <c r="A885" i="16"/>
  <c r="A886" i="16"/>
  <c r="A887" i="16"/>
  <c r="A888" i="16"/>
  <c r="A889" i="16"/>
  <c r="A890" i="16"/>
  <c r="A891" i="16"/>
  <c r="A892" i="16"/>
  <c r="A893" i="16"/>
  <c r="A894" i="16"/>
  <c r="A895" i="16"/>
  <c r="A896" i="16"/>
  <c r="A897" i="16"/>
  <c r="A898" i="16"/>
  <c r="A899" i="16"/>
  <c r="A900" i="16"/>
  <c r="A901" i="16"/>
  <c r="A902" i="16"/>
  <c r="A903" i="16"/>
  <c r="A176" i="33"/>
  <c r="B176" i="33"/>
  <c r="A175" i="33"/>
  <c r="B175" i="33"/>
  <c r="A174" i="33"/>
  <c r="B174" i="33"/>
  <c r="R13" i="36"/>
  <c r="A173" i="33"/>
  <c r="B173" i="33"/>
  <c r="E3" i="36"/>
  <c r="A172" i="33"/>
  <c r="B172" i="33"/>
  <c r="A171" i="33"/>
  <c r="B171" i="33"/>
  <c r="A170" i="33" l="1"/>
  <c r="B170" i="33"/>
  <c r="A169" i="33"/>
  <c r="B169" i="33"/>
  <c r="A168" i="33"/>
  <c r="B168" i="33"/>
  <c r="A167" i="33"/>
  <c r="B167" i="33"/>
  <c r="A166" i="33"/>
  <c r="B166" i="33"/>
  <c r="A165" i="33"/>
  <c r="B165" i="33"/>
  <c r="A164" i="33"/>
  <c r="B164" i="33"/>
  <c r="A163" i="33"/>
  <c r="B163" i="33"/>
  <c r="A162" i="33"/>
  <c r="B162" i="33"/>
  <c r="A161" i="33"/>
  <c r="B161" i="33"/>
  <c r="A160" i="33"/>
  <c r="B160" i="33"/>
  <c r="A159" i="33"/>
  <c r="B159" i="33"/>
  <c r="A158" i="33"/>
  <c r="B158" i="33"/>
  <c r="A157" i="33"/>
  <c r="B157" i="33"/>
  <c r="A156" i="33"/>
  <c r="B156" i="33"/>
  <c r="A155" i="33"/>
  <c r="B155" i="33"/>
  <c r="A154" i="33"/>
  <c r="B154" i="33"/>
  <c r="A153" i="33"/>
  <c r="B153" i="33"/>
  <c r="A152" i="33"/>
  <c r="B152" i="33"/>
  <c r="A151" i="33"/>
  <c r="B151" i="33"/>
  <c r="A150" i="33"/>
  <c r="B150" i="33"/>
  <c r="A149" i="33"/>
  <c r="B149" i="33"/>
  <c r="F9" i="35"/>
  <c r="A148" i="33" l="1"/>
  <c r="B148" i="33"/>
  <c r="A147" i="33"/>
  <c r="B147" i="33"/>
  <c r="A146" i="33"/>
  <c r="B146" i="33"/>
  <c r="A145" i="33"/>
  <c r="B145" i="33"/>
  <c r="A144" i="33"/>
  <c r="B144" i="33"/>
  <c r="A143" i="33"/>
  <c r="B143" i="33"/>
  <c r="A142" i="33"/>
  <c r="B142" i="33"/>
  <c r="A141" i="33" l="1"/>
  <c r="B141" i="33"/>
  <c r="A140" i="33"/>
  <c r="B140" i="33"/>
  <c r="A139" i="33"/>
  <c r="B139" i="33"/>
  <c r="A138" i="33"/>
  <c r="B138" i="33"/>
  <c r="A137" i="33"/>
  <c r="B137" i="33"/>
  <c r="A136" i="33"/>
  <c r="B136" i="33"/>
  <c r="A135" i="33"/>
  <c r="B135" i="33"/>
  <c r="A134" i="33"/>
  <c r="B134" i="33"/>
  <c r="A133" i="33"/>
  <c r="B133" i="33"/>
  <c r="A132" i="33"/>
  <c r="B132" i="33"/>
  <c r="A131" i="33"/>
  <c r="B131" i="33"/>
  <c r="A130" i="33"/>
  <c r="B130" i="33"/>
  <c r="A129" i="33"/>
  <c r="B129" i="33"/>
  <c r="A128" i="33"/>
  <c r="B128" i="33"/>
  <c r="A127" i="33"/>
  <c r="B127" i="33"/>
  <c r="A126" i="33"/>
  <c r="B126" i="33"/>
  <c r="A125" i="33"/>
  <c r="B125" i="33"/>
  <c r="A124" i="33"/>
  <c r="B124" i="33"/>
  <c r="A123" i="33"/>
  <c r="B123" i="33"/>
  <c r="A122" i="33"/>
  <c r="B122" i="33"/>
  <c r="A121" i="33"/>
  <c r="B121" i="33"/>
  <c r="A120" i="33"/>
  <c r="B120" i="33"/>
  <c r="A119" i="33"/>
  <c r="B119" i="33"/>
  <c r="A118" i="33"/>
  <c r="B118" i="33"/>
  <c r="A117" i="33"/>
  <c r="B117" i="33"/>
  <c r="A116" i="33"/>
  <c r="B116" i="33"/>
  <c r="A115" i="33"/>
  <c r="B115" i="33"/>
  <c r="A114" i="33"/>
  <c r="B114" i="33"/>
  <c r="A105" i="33"/>
  <c r="B105" i="33"/>
  <c r="A106" i="33"/>
  <c r="B106" i="33"/>
  <c r="A107" i="33"/>
  <c r="B107" i="33"/>
  <c r="A108" i="33"/>
  <c r="B108" i="33"/>
  <c r="A109" i="33"/>
  <c r="B109" i="33"/>
  <c r="A110" i="33"/>
  <c r="B110" i="33"/>
  <c r="A111" i="33"/>
  <c r="B111" i="33"/>
  <c r="A112" i="33"/>
  <c r="B112" i="33"/>
  <c r="A113" i="33"/>
  <c r="B113" i="33"/>
  <c r="E2" i="35"/>
  <c r="B92" i="33"/>
  <c r="AIS10" i="1" l="1"/>
  <c r="AIS9" i="1"/>
  <c r="AIS8" i="1"/>
  <c r="AIS7" i="1"/>
  <c r="AIS6" i="1"/>
  <c r="AIS5" i="1"/>
  <c r="VD4" i="21" s="1"/>
  <c r="AIS4" i="1"/>
  <c r="VD3" i="21" s="1"/>
  <c r="AIS3" i="1"/>
  <c r="AIS2" i="1"/>
  <c r="VD2" i="21" s="1"/>
  <c r="AIR10" i="1"/>
  <c r="AIR9" i="1"/>
  <c r="AIR8" i="1"/>
  <c r="AIR7" i="1"/>
  <c r="AIR6" i="1"/>
  <c r="AIR5" i="1"/>
  <c r="AIR3" i="1"/>
  <c r="E7" i="36" l="1"/>
  <c r="AIR4" i="1" s="1"/>
  <c r="E5" i="36"/>
  <c r="AIR2" i="1" s="1"/>
  <c r="I41" i="33" l="1"/>
  <c r="I29" i="33"/>
  <c r="I26" i="33"/>
  <c r="I13" i="33"/>
  <c r="I14" i="33"/>
  <c r="I15" i="33"/>
  <c r="I16" i="33"/>
  <c r="I12" i="33"/>
  <c r="A3" i="33" l="1"/>
  <c r="A4" i="33"/>
  <c r="A5" i="33"/>
  <c r="A6" i="33"/>
  <c r="A7" i="33"/>
  <c r="A8" i="33"/>
  <c r="A9" i="33"/>
  <c r="A10" i="33"/>
  <c r="A11" i="33"/>
  <c r="A12" i="33"/>
  <c r="A13" i="33"/>
  <c r="A14" i="33"/>
  <c r="A15" i="33"/>
  <c r="A16" i="33"/>
  <c r="A17" i="33"/>
  <c r="A18" i="33"/>
  <c r="A19" i="33"/>
  <c r="A20" i="33"/>
  <c r="A21" i="33"/>
  <c r="A22" i="33"/>
  <c r="A23" i="33"/>
  <c r="A24" i="33"/>
  <c r="A25" i="33"/>
  <c r="A26" i="33"/>
  <c r="A27" i="33"/>
  <c r="A28" i="33"/>
  <c r="A29" i="33"/>
  <c r="A30" i="33"/>
  <c r="A31" i="33"/>
  <c r="A32" i="33"/>
  <c r="A33" i="33"/>
  <c r="A34" i="33"/>
  <c r="A35" i="33"/>
  <c r="A36" i="33"/>
  <c r="A37" i="33"/>
  <c r="A38" i="33"/>
  <c r="A39" i="33"/>
  <c r="A40" i="33"/>
  <c r="A41" i="33"/>
  <c r="A42" i="33"/>
  <c r="A43" i="33"/>
  <c r="A44" i="33"/>
  <c r="A45" i="33"/>
  <c r="A46" i="33"/>
  <c r="A47" i="33"/>
  <c r="A48" i="33"/>
  <c r="A49" i="33"/>
  <c r="A50" i="33"/>
  <c r="A51" i="33"/>
  <c r="A52" i="33"/>
  <c r="A53" i="33"/>
  <c r="A54" i="33"/>
  <c r="A55" i="33"/>
  <c r="A56" i="33"/>
  <c r="A57" i="33"/>
  <c r="A58" i="33"/>
  <c r="A59" i="33"/>
  <c r="A60" i="33"/>
  <c r="A61" i="33"/>
  <c r="A62" i="33"/>
  <c r="A63" i="33"/>
  <c r="A64" i="33"/>
  <c r="A65" i="33"/>
  <c r="A66" i="33"/>
  <c r="A67" i="33"/>
  <c r="A68" i="33"/>
  <c r="A69" i="33"/>
  <c r="A70" i="33"/>
  <c r="A71" i="33"/>
  <c r="A72" i="33"/>
  <c r="A73" i="33"/>
  <c r="A74" i="33"/>
  <c r="A75" i="33"/>
  <c r="A76" i="33"/>
  <c r="A77" i="33"/>
  <c r="A78" i="33"/>
  <c r="A79" i="33"/>
  <c r="A80" i="33"/>
  <c r="A81" i="33"/>
  <c r="A82" i="33"/>
  <c r="A83" i="33"/>
  <c r="A84" i="33"/>
  <c r="A85" i="33"/>
  <c r="A86" i="33"/>
  <c r="A87" i="33"/>
  <c r="A88" i="33"/>
  <c r="A89" i="33"/>
  <c r="A90" i="33"/>
  <c r="A91" i="33"/>
  <c r="A92" i="33"/>
  <c r="A93" i="33"/>
  <c r="A94" i="33"/>
  <c r="A95" i="33"/>
  <c r="A96" i="33"/>
  <c r="A97" i="33"/>
  <c r="A98" i="33"/>
  <c r="A99" i="33"/>
  <c r="A100" i="33"/>
  <c r="A101" i="33"/>
  <c r="A102" i="33"/>
  <c r="A103" i="33"/>
  <c r="A104" i="33"/>
  <c r="A2" i="33"/>
  <c r="VC7" i="21"/>
  <c r="VC6" i="21"/>
  <c r="VC5" i="21"/>
  <c r="VC4" i="21"/>
  <c r="VC2" i="21"/>
  <c r="UV59" i="21" s="1"/>
  <c r="C12" i="22"/>
  <c r="C8" i="22"/>
  <c r="C6" i="22"/>
  <c r="C5" i="22"/>
  <c r="C4" i="22"/>
  <c r="I21" i="25"/>
  <c r="C7" i="25" s="1"/>
  <c r="I20" i="25"/>
  <c r="C6" i="25" s="1"/>
  <c r="I19" i="25"/>
  <c r="I18" i="25"/>
  <c r="C4" i="25" s="1"/>
  <c r="I17" i="25"/>
  <c r="C10" i="25" s="1"/>
  <c r="I16" i="25"/>
  <c r="C9" i="25" s="1"/>
  <c r="I15" i="25"/>
  <c r="C8" i="25" s="1"/>
  <c r="E2" i="34"/>
  <c r="C3" i="30"/>
  <c r="C3" i="31"/>
  <c r="AIL72" i="1"/>
  <c r="AIL69" i="1"/>
  <c r="AIK7" i="1"/>
  <c r="M12" i="35" s="1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C11" i="25" l="1"/>
  <c r="AIK8" i="1"/>
  <c r="G12" i="35" s="1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58" i="33"/>
  <c r="B57" i="33"/>
  <c r="A761" i="16"/>
  <c r="A762" i="16"/>
  <c r="A763" i="16"/>
  <c r="A764" i="16"/>
  <c r="A765" i="16"/>
  <c r="A766" i="16"/>
  <c r="A767" i="16"/>
  <c r="A768" i="16"/>
  <c r="A769" i="16"/>
  <c r="A770" i="16"/>
  <c r="A771" i="16"/>
  <c r="A772" i="16"/>
  <c r="A773" i="16"/>
  <c r="A774" i="16"/>
  <c r="A775" i="16"/>
  <c r="A776" i="16"/>
  <c r="A777" i="16"/>
  <c r="A778" i="16"/>
  <c r="A779" i="16"/>
  <c r="A780" i="16"/>
  <c r="A781" i="16"/>
  <c r="A782" i="16"/>
  <c r="A783" i="16"/>
  <c r="A784" i="16"/>
  <c r="A785" i="16"/>
  <c r="A786" i="16"/>
  <c r="A787" i="16"/>
  <c r="A788" i="16"/>
  <c r="A789" i="16"/>
  <c r="A790" i="16"/>
  <c r="A791" i="16"/>
  <c r="A792" i="16"/>
  <c r="A793" i="16"/>
  <c r="A794" i="16"/>
  <c r="A795" i="16"/>
  <c r="A796" i="16"/>
  <c r="A797" i="16"/>
  <c r="A798" i="16"/>
  <c r="A799" i="16"/>
  <c r="A800" i="16"/>
  <c r="A801" i="16"/>
  <c r="A802" i="16"/>
  <c r="A803" i="16"/>
  <c r="A804" i="16"/>
  <c r="A805" i="16"/>
  <c r="A806" i="16"/>
  <c r="A807" i="16"/>
  <c r="A808" i="16"/>
  <c r="A809" i="16"/>
  <c r="A810" i="16"/>
  <c r="A811" i="16"/>
  <c r="A812" i="16"/>
  <c r="A813" i="16"/>
  <c r="A814" i="16"/>
  <c r="A815" i="16"/>
  <c r="A816" i="16"/>
  <c r="A817" i="16"/>
  <c r="A818" i="16"/>
  <c r="A819" i="16"/>
  <c r="A820" i="16"/>
  <c r="A821" i="16"/>
  <c r="A822" i="16"/>
  <c r="A823" i="16"/>
  <c r="A824" i="16"/>
  <c r="A825" i="16"/>
  <c r="A826" i="16"/>
  <c r="A827" i="16"/>
  <c r="A828" i="16"/>
  <c r="A829" i="16"/>
  <c r="A830" i="16"/>
  <c r="A831" i="16"/>
  <c r="A832" i="16"/>
  <c r="A833" i="16"/>
  <c r="A834" i="16"/>
  <c r="A835" i="16"/>
  <c r="A836" i="16"/>
  <c r="A837" i="16"/>
  <c r="A838" i="16"/>
  <c r="A839" i="16"/>
  <c r="A840" i="16"/>
  <c r="A841" i="16"/>
  <c r="A842" i="16"/>
  <c r="A843" i="16"/>
  <c r="A844" i="16"/>
  <c r="A845" i="16"/>
  <c r="A846" i="16"/>
  <c r="A847" i="16"/>
  <c r="A848" i="16"/>
  <c r="A849" i="16"/>
  <c r="A850" i="16"/>
  <c r="A851" i="16"/>
  <c r="A852" i="16"/>
  <c r="A853" i="16"/>
  <c r="A854" i="16"/>
  <c r="A855" i="16"/>
  <c r="A856" i="16"/>
  <c r="A857" i="16"/>
  <c r="A858" i="16"/>
  <c r="A859" i="16"/>
  <c r="A860" i="16"/>
  <c r="A861" i="16"/>
  <c r="A862" i="16"/>
  <c r="A863" i="16"/>
  <c r="A864" i="16"/>
  <c r="A865" i="16"/>
  <c r="A866" i="16"/>
  <c r="A867" i="16"/>
  <c r="A868" i="16"/>
  <c r="A869" i="16"/>
  <c r="A870" i="16"/>
  <c r="A871" i="16"/>
  <c r="A872" i="16"/>
  <c r="A873" i="16"/>
  <c r="A874" i="16"/>
  <c r="A875" i="16"/>
  <c r="A876" i="16"/>
  <c r="A877" i="16"/>
  <c r="A878" i="16"/>
  <c r="A879" i="16"/>
  <c r="A880" i="16"/>
  <c r="A881" i="16"/>
  <c r="A882" i="16"/>
  <c r="B47" i="33" l="1"/>
  <c r="B48" i="33"/>
  <c r="B49" i="33"/>
  <c r="B50" i="33"/>
  <c r="B54" i="33"/>
  <c r="B55" i="33"/>
  <c r="B56" i="33"/>
  <c r="B52" i="33"/>
  <c r="B53" i="33"/>
  <c r="B51" i="33"/>
  <c r="A760" i="16"/>
  <c r="A759" i="16"/>
  <c r="C34" i="30" l="1"/>
  <c r="F7" i="30"/>
  <c r="D7" i="34" l="1"/>
  <c r="E4" i="34"/>
  <c r="E3" i="34"/>
  <c r="E6" i="34"/>
  <c r="E7" i="34" l="1"/>
  <c r="F7" i="34" s="1"/>
  <c r="B24" i="33" l="1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M12" i="32"/>
  <c r="O12" i="32" s="1"/>
  <c r="R12" i="32"/>
  <c r="M18" i="32"/>
  <c r="M17" i="32"/>
  <c r="D76" i="29"/>
  <c r="D73" i="29"/>
  <c r="E90" i="31"/>
  <c r="E120" i="30" s="1"/>
  <c r="E91" i="31"/>
  <c r="E121" i="30" s="1"/>
  <c r="D90" i="31"/>
  <c r="D120" i="30" s="1"/>
  <c r="D91" i="31"/>
  <c r="D121" i="30" s="1"/>
  <c r="D93" i="31"/>
  <c r="D123" i="30" s="1"/>
  <c r="C90" i="31"/>
  <c r="C120" i="30" s="1"/>
  <c r="C92" i="31"/>
  <c r="C122" i="30" s="1"/>
  <c r="C93" i="31"/>
  <c r="C123" i="30" s="1"/>
  <c r="B90" i="31"/>
  <c r="B120" i="30" s="1"/>
  <c r="B92" i="31"/>
  <c r="B122" i="30" s="1"/>
  <c r="B89" i="31"/>
  <c r="B119" i="30" s="1"/>
  <c r="C89" i="31"/>
  <c r="C119" i="30" s="1"/>
  <c r="D89" i="31"/>
  <c r="D119" i="30" s="1"/>
  <c r="E89" i="31"/>
  <c r="E119" i="30" s="1"/>
  <c r="A89" i="31"/>
  <c r="A119" i="30" s="1"/>
  <c r="A90" i="31"/>
  <c r="A120" i="30" s="1"/>
  <c r="A91" i="31"/>
  <c r="A121" i="30" s="1"/>
  <c r="A92" i="31"/>
  <c r="A122" i="30" s="1"/>
  <c r="A93" i="31"/>
  <c r="A123" i="30" s="1"/>
  <c r="A88" i="31"/>
  <c r="A118" i="30" s="1"/>
  <c r="B67" i="31"/>
  <c r="B97" i="30" s="1"/>
  <c r="C67" i="31"/>
  <c r="C97" i="30" s="1"/>
  <c r="A67" i="31"/>
  <c r="A97" i="30" s="1"/>
  <c r="B64" i="31"/>
  <c r="B94" i="30" s="1"/>
  <c r="B63" i="31"/>
  <c r="B93" i="30" s="1"/>
  <c r="B62" i="31"/>
  <c r="B92" i="30" s="1"/>
  <c r="B61" i="31"/>
  <c r="B91" i="30" s="1"/>
  <c r="B60" i="31"/>
  <c r="B90" i="30" s="1"/>
  <c r="I59" i="31"/>
  <c r="I89" i="30" s="1"/>
  <c r="H59" i="31"/>
  <c r="H89" i="30" s="1"/>
  <c r="B58" i="31"/>
  <c r="B88" i="30" s="1"/>
  <c r="C58" i="31"/>
  <c r="C88" i="30" s="1"/>
  <c r="D58" i="31"/>
  <c r="D88" i="30" s="1"/>
  <c r="E58" i="31"/>
  <c r="E88" i="30" s="1"/>
  <c r="F58" i="31"/>
  <c r="F88" i="30" s="1"/>
  <c r="G58" i="31"/>
  <c r="G88" i="30" s="1"/>
  <c r="H58" i="31"/>
  <c r="H88" i="30" s="1"/>
  <c r="A65" i="31"/>
  <c r="A95" i="30" s="1"/>
  <c r="A63" i="31"/>
  <c r="A93" i="30" s="1"/>
  <c r="A64" i="31"/>
  <c r="A94" i="30" s="1"/>
  <c r="A60" i="31"/>
  <c r="A90" i="30" s="1"/>
  <c r="A61" i="31"/>
  <c r="A91" i="30" s="1"/>
  <c r="A62" i="31"/>
  <c r="A92" i="30" s="1"/>
  <c r="A58" i="31"/>
  <c r="A88" i="30" s="1"/>
  <c r="A57" i="31"/>
  <c r="A87" i="30" s="1"/>
  <c r="B15" i="30"/>
  <c r="B14" i="30"/>
  <c r="B13" i="30"/>
  <c r="B12" i="30"/>
  <c r="E76" i="29" l="1"/>
  <c r="AIN72" i="1"/>
  <c r="AIN70" i="1"/>
  <c r="AIM72" i="1"/>
  <c r="E93" i="31" s="1"/>
  <c r="E123" i="30" s="1"/>
  <c r="D75" i="29"/>
  <c r="E75" i="29" s="1"/>
  <c r="B43" i="29"/>
  <c r="C43" i="29"/>
  <c r="B44" i="29"/>
  <c r="B45" i="29"/>
  <c r="B46" i="29"/>
  <c r="C42" i="29"/>
  <c r="B42" i="29"/>
  <c r="AIK10" i="1" l="1"/>
  <c r="J12" i="35" s="1"/>
  <c r="AIJ104" i="1"/>
  <c r="AIJ102" i="1"/>
  <c r="AIJ103" i="1"/>
  <c r="AIL71" i="1"/>
  <c r="D92" i="31" l="1"/>
  <c r="D122" i="30" s="1"/>
  <c r="AIK9" i="1"/>
  <c r="I12" i="35" s="1"/>
  <c r="AIN71" i="1"/>
  <c r="AIM71" i="1"/>
  <c r="E92" i="31" s="1"/>
  <c r="E122" i="30" s="1"/>
  <c r="AIJ105" i="1"/>
  <c r="ABG94" i="27" l="1"/>
  <c r="ABG93" i="27"/>
  <c r="ABI131" i="27"/>
  <c r="ABI130" i="27"/>
  <c r="ABI129" i="27"/>
  <c r="ABI128" i="27"/>
  <c r="ABI120" i="27"/>
  <c r="ABI119" i="27"/>
  <c r="ABI118" i="27"/>
  <c r="ABI117" i="27"/>
  <c r="ABI116" i="27"/>
  <c r="ABI115" i="27"/>
  <c r="ABI114" i="27"/>
  <c r="ABI113" i="27"/>
  <c r="ABI112" i="27"/>
  <c r="ABI111" i="27"/>
  <c r="ABI110" i="27"/>
  <c r="ABJ106" i="27"/>
  <c r="ABH106" i="27"/>
  <c r="ABG106" i="27"/>
  <c r="ABF101" i="27"/>
  <c r="ACF72" i="27"/>
  <c r="ACH72" i="27" s="1"/>
  <c r="ACE72" i="27"/>
  <c r="ACJ72" i="27" s="1"/>
  <c r="ABJ72" i="27"/>
  <c r="ABI72" i="27"/>
  <c r="ABF72" i="27"/>
  <c r="ABJ71" i="27"/>
  <c r="ABH71" i="27"/>
  <c r="ABI71" i="27" s="1"/>
  <c r="ABJ70" i="27"/>
  <c r="ACE69" i="27"/>
  <c r="ACJ69" i="27" s="1"/>
  <c r="ACJ68" i="27"/>
  <c r="ACC68" i="27"/>
  <c r="ACE64" i="27"/>
  <c r="ACJ64" i="27" s="1"/>
  <c r="ABH64" i="27"/>
  <c r="ABG64" i="27"/>
  <c r="WJ70" i="27" s="1"/>
  <c r="ABF64" i="27"/>
  <c r="SJ64" i="27"/>
  <c r="ABH63" i="27"/>
  <c r="ABU63" i="27" s="1"/>
  <c r="ABI63" i="27" s="1"/>
  <c r="ABG63" i="27"/>
  <c r="ABF63" i="27"/>
  <c r="ABH62" i="27"/>
  <c r="ABG62" i="27"/>
  <c r="ABF62" i="27"/>
  <c r="ABH61" i="27"/>
  <c r="ACF69" i="27" s="1"/>
  <c r="ACH69" i="27" s="1"/>
  <c r="ABG61" i="27"/>
  <c r="ABF61" i="27"/>
  <c r="SJ61" i="27"/>
  <c r="ABH60" i="27"/>
  <c r="ABF60" i="27"/>
  <c r="ABH59" i="27"/>
  <c r="ABG59" i="27"/>
  <c r="ABU59" i="27" s="1"/>
  <c r="ABI59" i="27" s="1"/>
  <c r="ABF59" i="27"/>
  <c r="ABH58" i="27"/>
  <c r="ABF58" i="27"/>
  <c r="GI34" i="27"/>
  <c r="GG34" i="27"/>
  <c r="GI32" i="27"/>
  <c r="GG32" i="27"/>
  <c r="GI31" i="27"/>
  <c r="GG31" i="27"/>
  <c r="GI30" i="27"/>
  <c r="GG30" i="27"/>
  <c r="GI29" i="27"/>
  <c r="GG29" i="27"/>
  <c r="GI28" i="27"/>
  <c r="GG28" i="27"/>
  <c r="GI27" i="27"/>
  <c r="GG27" i="27"/>
  <c r="GI26" i="27"/>
  <c r="GG26" i="27"/>
  <c r="D26" i="27"/>
  <c r="C26" i="27"/>
  <c r="B26" i="27"/>
  <c r="GI25" i="27"/>
  <c r="GG25" i="27"/>
  <c r="E25" i="27"/>
  <c r="D25" i="27"/>
  <c r="C25" i="27"/>
  <c r="B25" i="27"/>
  <c r="GI24" i="27"/>
  <c r="GG24" i="27"/>
  <c r="CU24" i="27"/>
  <c r="GI23" i="27"/>
  <c r="GG23" i="27"/>
  <c r="GI22" i="27"/>
  <c r="GG22" i="27"/>
  <c r="E22" i="27"/>
  <c r="D22" i="27"/>
  <c r="C22" i="27"/>
  <c r="B22" i="27"/>
  <c r="GI21" i="27"/>
  <c r="GG21" i="27"/>
  <c r="GI20" i="27"/>
  <c r="GG20" i="27"/>
  <c r="ABK10" i="27"/>
  <c r="ABH10" i="27"/>
  <c r="ABK9" i="27"/>
  <c r="ABH9" i="27"/>
  <c r="ABK8" i="27"/>
  <c r="ABI8" i="27"/>
  <c r="ABH8" i="27"/>
  <c r="ABK7" i="27"/>
  <c r="ABI7" i="27"/>
  <c r="ABH7" i="27"/>
  <c r="ABK6" i="27"/>
  <c r="ABI6" i="27"/>
  <c r="ABH6" i="27"/>
  <c r="KJ6" i="27"/>
  <c r="KI6" i="27"/>
  <c r="KH6" i="27"/>
  <c r="KG6" i="27"/>
  <c r="KF6" i="27"/>
  <c r="KE6" i="27"/>
  <c r="KD6" i="27"/>
  <c r="JE6" i="27"/>
  <c r="JD6" i="27"/>
  <c r="JC6" i="27"/>
  <c r="JB6" i="27"/>
  <c r="JA6" i="27"/>
  <c r="IZ6" i="27"/>
  <c r="IY6" i="27"/>
  <c r="IX6" i="27"/>
  <c r="IW6" i="27"/>
  <c r="IV6" i="27"/>
  <c r="IU6" i="27"/>
  <c r="IT6" i="27"/>
  <c r="IS6" i="27"/>
  <c r="IR6" i="27"/>
  <c r="IQ6" i="27"/>
  <c r="IP6" i="27"/>
  <c r="IO6" i="27"/>
  <c r="IN6" i="27"/>
  <c r="IM6" i="27"/>
  <c r="IL6" i="27"/>
  <c r="IK6" i="27"/>
  <c r="IJ6" i="27"/>
  <c r="II6" i="27"/>
  <c r="IH6" i="27"/>
  <c r="IG6" i="27"/>
  <c r="IF6" i="27"/>
  <c r="IE6" i="27"/>
  <c r="ID6" i="27"/>
  <c r="IC6" i="27"/>
  <c r="IB6" i="27"/>
  <c r="IA6" i="27"/>
  <c r="HZ6" i="27"/>
  <c r="HY6" i="27"/>
  <c r="HX6" i="27"/>
  <c r="HW6" i="27"/>
  <c r="HV6" i="27"/>
  <c r="HU6" i="27"/>
  <c r="HT6" i="27"/>
  <c r="HS6" i="27"/>
  <c r="HR6" i="27"/>
  <c r="HQ6" i="27"/>
  <c r="HP6" i="27"/>
  <c r="HO6" i="27"/>
  <c r="HN6" i="27"/>
  <c r="HM6" i="27"/>
  <c r="HL6" i="27"/>
  <c r="HK6" i="27"/>
  <c r="HJ6" i="27"/>
  <c r="HI6" i="27"/>
  <c r="HH6" i="27"/>
  <c r="HG6" i="27"/>
  <c r="HF6" i="27"/>
  <c r="HE6" i="27"/>
  <c r="HD6" i="27"/>
  <c r="HC6" i="27"/>
  <c r="HB6" i="27"/>
  <c r="HA6" i="27"/>
  <c r="GZ6" i="27"/>
  <c r="GY6" i="27"/>
  <c r="GX6" i="27"/>
  <c r="GW6" i="27"/>
  <c r="GV6" i="27"/>
  <c r="GU6" i="27"/>
  <c r="GT6" i="27"/>
  <c r="GS6" i="27"/>
  <c r="GR6" i="27"/>
  <c r="GQ6" i="27"/>
  <c r="H6" i="27"/>
  <c r="I6" i="27" s="1"/>
  <c r="J6" i="27" s="1"/>
  <c r="K6" i="27" s="1"/>
  <c r="L6" i="27" s="1"/>
  <c r="M6" i="27" s="1"/>
  <c r="N6" i="27" s="1"/>
  <c r="O6" i="27" s="1"/>
  <c r="P6" i="27" s="1"/>
  <c r="Q6" i="27" s="1"/>
  <c r="R6" i="27" s="1"/>
  <c r="S6" i="27" s="1"/>
  <c r="T6" i="27" s="1"/>
  <c r="G6" i="27"/>
  <c r="E26" i="27" s="1"/>
  <c r="ABK5" i="27"/>
  <c r="ABI5" i="27"/>
  <c r="ABH5" i="27"/>
  <c r="SG5" i="27"/>
  <c r="SF5" i="27"/>
  <c r="SE5" i="27"/>
  <c r="SD5" i="27"/>
  <c r="SC5" i="27"/>
  <c r="SB5" i="27"/>
  <c r="SA5" i="27"/>
  <c r="RZ5" i="27"/>
  <c r="RY5" i="27"/>
  <c r="RX5" i="27"/>
  <c r="RW5" i="27"/>
  <c r="RV5" i="27"/>
  <c r="RU5" i="27"/>
  <c r="RT5" i="27"/>
  <c r="RS5" i="27"/>
  <c r="RR5" i="27"/>
  <c r="RQ5" i="27"/>
  <c r="RP5" i="27"/>
  <c r="RO5" i="27"/>
  <c r="RN5" i="27"/>
  <c r="RM5" i="27"/>
  <c r="RL5" i="27"/>
  <c r="RK5" i="27"/>
  <c r="RJ5" i="27"/>
  <c r="RI5" i="27"/>
  <c r="RH5" i="27"/>
  <c r="RG5" i="27"/>
  <c r="RF5" i="27"/>
  <c r="RE5" i="27"/>
  <c r="RD5" i="27"/>
  <c r="RC5" i="27"/>
  <c r="RB5" i="27"/>
  <c r="RA5" i="27"/>
  <c r="QZ5" i="27"/>
  <c r="QY5" i="27"/>
  <c r="QX5" i="27"/>
  <c r="QW5" i="27"/>
  <c r="QV5" i="27"/>
  <c r="QU5" i="27"/>
  <c r="QT5" i="27"/>
  <c r="QS5" i="27"/>
  <c r="QR5" i="27"/>
  <c r="QQ5" i="27"/>
  <c r="QP5" i="27"/>
  <c r="QO5" i="27"/>
  <c r="QN5" i="27"/>
  <c r="QM5" i="27"/>
  <c r="QL5" i="27"/>
  <c r="QK5" i="27"/>
  <c r="QJ5" i="27"/>
  <c r="QI5" i="27"/>
  <c r="QH5" i="27"/>
  <c r="QG5" i="27"/>
  <c r="QF5" i="27"/>
  <c r="QE5" i="27"/>
  <c r="QD5" i="27"/>
  <c r="QC5" i="27"/>
  <c r="QB5" i="27"/>
  <c r="QA5" i="27"/>
  <c r="PZ5" i="27"/>
  <c r="PY5" i="27"/>
  <c r="PX5" i="27"/>
  <c r="PW5" i="27"/>
  <c r="PV5" i="27"/>
  <c r="PU5" i="27"/>
  <c r="PT5" i="27"/>
  <c r="PS5" i="27"/>
  <c r="PR5" i="27"/>
  <c r="PQ5" i="27"/>
  <c r="PP5" i="27"/>
  <c r="PO5" i="27"/>
  <c r="PN5" i="27"/>
  <c r="PM5" i="27"/>
  <c r="PL5" i="27"/>
  <c r="PK5" i="27"/>
  <c r="PJ5" i="27"/>
  <c r="PI5" i="27"/>
  <c r="PH5" i="27"/>
  <c r="PG5" i="27"/>
  <c r="PF5" i="27"/>
  <c r="PE5" i="27"/>
  <c r="PD5" i="27"/>
  <c r="PC5" i="27"/>
  <c r="PB5" i="27"/>
  <c r="PA5" i="27"/>
  <c r="OZ5" i="27"/>
  <c r="OY5" i="27"/>
  <c r="OX5" i="27"/>
  <c r="OW5" i="27"/>
  <c r="OV5" i="27"/>
  <c r="OU5" i="27"/>
  <c r="OT5" i="27"/>
  <c r="OS5" i="27"/>
  <c r="OR5" i="27"/>
  <c r="OQ5" i="27"/>
  <c r="OP5" i="27"/>
  <c r="OO5" i="27"/>
  <c r="ON5" i="27"/>
  <c r="OM5" i="27"/>
  <c r="OL5" i="27"/>
  <c r="OK5" i="27"/>
  <c r="OJ5" i="27"/>
  <c r="OI5" i="27"/>
  <c r="OH5" i="27"/>
  <c r="OG5" i="27"/>
  <c r="OF5" i="27"/>
  <c r="OE5" i="27"/>
  <c r="OD5" i="27"/>
  <c r="OC5" i="27"/>
  <c r="OB5" i="27"/>
  <c r="OA5" i="27"/>
  <c r="NZ5" i="27"/>
  <c r="NY5" i="27"/>
  <c r="NX5" i="27"/>
  <c r="NW5" i="27"/>
  <c r="NV5" i="27"/>
  <c r="NU5" i="27"/>
  <c r="NT5" i="27"/>
  <c r="NS5" i="27"/>
  <c r="NR5" i="27"/>
  <c r="NQ5" i="27"/>
  <c r="NP5" i="27"/>
  <c r="NO5" i="27"/>
  <c r="NN5" i="27"/>
  <c r="NM5" i="27"/>
  <c r="NL5" i="27"/>
  <c r="NK5" i="27"/>
  <c r="NJ5" i="27"/>
  <c r="NI5" i="27"/>
  <c r="NH5" i="27"/>
  <c r="NG5" i="27"/>
  <c r="NF5" i="27"/>
  <c r="NE5" i="27"/>
  <c r="ND5" i="27"/>
  <c r="NC5" i="27"/>
  <c r="NB5" i="27"/>
  <c r="NA5" i="27"/>
  <c r="MZ5" i="27"/>
  <c r="MY5" i="27"/>
  <c r="MX5" i="27"/>
  <c r="MW5" i="27"/>
  <c r="MV5" i="27"/>
  <c r="MU5" i="27"/>
  <c r="MT5" i="27"/>
  <c r="MS5" i="27"/>
  <c r="MR5" i="27"/>
  <c r="MQ5" i="27"/>
  <c r="MP5" i="27"/>
  <c r="MO5" i="27"/>
  <c r="MN5" i="27"/>
  <c r="MM5" i="27"/>
  <c r="ML5" i="27"/>
  <c r="MK5" i="27"/>
  <c r="MJ5" i="27"/>
  <c r="MI5" i="27"/>
  <c r="MH5" i="27"/>
  <c r="MG5" i="27"/>
  <c r="MF5" i="27"/>
  <c r="ME5" i="27"/>
  <c r="MD5" i="27"/>
  <c r="MC5" i="27"/>
  <c r="MB5" i="27"/>
  <c r="MA5" i="27"/>
  <c r="LZ5" i="27"/>
  <c r="LY5" i="27"/>
  <c r="LX5" i="27"/>
  <c r="LW5" i="27"/>
  <c r="LV5" i="27"/>
  <c r="LU5" i="27"/>
  <c r="LT5" i="27"/>
  <c r="LS5" i="27"/>
  <c r="LR5" i="27"/>
  <c r="LQ5" i="27"/>
  <c r="LP5" i="27"/>
  <c r="LO5" i="27"/>
  <c r="LN5" i="27"/>
  <c r="LM5" i="27"/>
  <c r="LL5" i="27"/>
  <c r="LK5" i="27"/>
  <c r="LJ5" i="27"/>
  <c r="LI5" i="27"/>
  <c r="LH5" i="27"/>
  <c r="LG5" i="27"/>
  <c r="LF5" i="27"/>
  <c r="LE5" i="27"/>
  <c r="LD5" i="27"/>
  <c r="LC5" i="27"/>
  <c r="LB5" i="27"/>
  <c r="LA5" i="27"/>
  <c r="KZ5" i="27"/>
  <c r="KY5" i="27"/>
  <c r="KX5" i="27"/>
  <c r="KW5" i="27"/>
  <c r="KV5" i="27"/>
  <c r="KU5" i="27"/>
  <c r="KT5" i="27"/>
  <c r="KS5" i="27"/>
  <c r="KR5" i="27"/>
  <c r="KQ5" i="27"/>
  <c r="KP5" i="27"/>
  <c r="KO5" i="27"/>
  <c r="KN5" i="27"/>
  <c r="KM5" i="27"/>
  <c r="P5" i="27"/>
  <c r="K5" i="27"/>
  <c r="L5" i="27" s="1"/>
  <c r="ABN4" i="27"/>
  <c r="ABK4" i="27" s="1"/>
  <c r="NV4" i="27"/>
  <c r="NU4" i="27"/>
  <c r="NT4" i="27"/>
  <c r="NS4" i="27"/>
  <c r="NR4" i="27"/>
  <c r="NQ4" i="27"/>
  <c r="NP4" i="27"/>
  <c r="NO4" i="27"/>
  <c r="NN4" i="27"/>
  <c r="NM4" i="27"/>
  <c r="NL4" i="27"/>
  <c r="NK4" i="27"/>
  <c r="NJ4" i="27"/>
  <c r="NI4" i="27"/>
  <c r="NH4" i="27"/>
  <c r="NG4" i="27"/>
  <c r="NF4" i="27"/>
  <c r="NE4" i="27"/>
  <c r="ND4" i="27"/>
  <c r="NC4" i="27"/>
  <c r="NB4" i="27"/>
  <c r="NA4" i="27"/>
  <c r="MZ4" i="27"/>
  <c r="MY4" i="27"/>
  <c r="MX4" i="27"/>
  <c r="MW4" i="27"/>
  <c r="MV4" i="27"/>
  <c r="MU4" i="27"/>
  <c r="MT4" i="27"/>
  <c r="MS4" i="27"/>
  <c r="MR4" i="27"/>
  <c r="MQ4" i="27"/>
  <c r="MP4" i="27"/>
  <c r="MO4" i="27"/>
  <c r="MN4" i="27"/>
  <c r="MM4" i="27"/>
  <c r="ML4" i="27"/>
  <c r="MK4" i="27"/>
  <c r="MJ4" i="27"/>
  <c r="MI4" i="27"/>
  <c r="MH4" i="27"/>
  <c r="MG4" i="27"/>
  <c r="MF4" i="27"/>
  <c r="ME4" i="27"/>
  <c r="MD4" i="27"/>
  <c r="MC4" i="27"/>
  <c r="MB4" i="27"/>
  <c r="MA4" i="27"/>
  <c r="LZ4" i="27"/>
  <c r="LY4" i="27"/>
  <c r="LX4" i="27"/>
  <c r="LW4" i="27"/>
  <c r="LV4" i="27"/>
  <c r="LU4" i="27"/>
  <c r="LT4" i="27"/>
  <c r="LS4" i="27"/>
  <c r="LR4" i="27"/>
  <c r="LQ4" i="27"/>
  <c r="LP4" i="27"/>
  <c r="LO4" i="27"/>
  <c r="LN4" i="27"/>
  <c r="LM4" i="27"/>
  <c r="LL4" i="27"/>
  <c r="LK4" i="27"/>
  <c r="LJ4" i="27"/>
  <c r="LI4" i="27"/>
  <c r="LH4" i="27"/>
  <c r="LG4" i="27"/>
  <c r="FD4" i="27"/>
  <c r="FC4" i="27"/>
  <c r="FB4" i="27"/>
  <c r="FA4" i="27"/>
  <c r="EZ4" i="27"/>
  <c r="EY4" i="27"/>
  <c r="EX4" i="27"/>
  <c r="EW4" i="27"/>
  <c r="EV4" i="27"/>
  <c r="EU4" i="27"/>
  <c r="ET4" i="27"/>
  <c r="ES4" i="27"/>
  <c r="ER4" i="27"/>
  <c r="EQ4" i="27"/>
  <c r="EP4" i="27"/>
  <c r="EO4" i="27"/>
  <c r="EN4" i="27"/>
  <c r="EM4" i="27"/>
  <c r="EL4" i="27"/>
  <c r="EK4" i="27"/>
  <c r="EJ4" i="27"/>
  <c r="EI4" i="27"/>
  <c r="EH4" i="27"/>
  <c r="EG4" i="27"/>
  <c r="EF4" i="27"/>
  <c r="EE4" i="27"/>
  <c r="ED4" i="27"/>
  <c r="EC4" i="27"/>
  <c r="EB4" i="27"/>
  <c r="EA4" i="27"/>
  <c r="DZ4" i="27"/>
  <c r="DY4" i="27"/>
  <c r="DX4" i="27"/>
  <c r="DW4" i="27"/>
  <c r="DV4" i="27"/>
  <c r="DU4" i="27"/>
  <c r="DT4" i="27"/>
  <c r="DS4" i="27"/>
  <c r="DR4" i="27"/>
  <c r="DQ4" i="27"/>
  <c r="DP4" i="27"/>
  <c r="DO4" i="27"/>
  <c r="DN4" i="27"/>
  <c r="DM4" i="27"/>
  <c r="DL4" i="27"/>
  <c r="DK4" i="27"/>
  <c r="DJ4" i="27"/>
  <c r="DI4" i="27"/>
  <c r="DH4" i="27"/>
  <c r="DG4" i="27"/>
  <c r="DF4" i="27"/>
  <c r="DE4" i="27"/>
  <c r="DD4" i="27"/>
  <c r="DC4" i="27"/>
  <c r="DB4" i="27"/>
  <c r="DA4" i="27"/>
  <c r="CZ4" i="27"/>
  <c r="CY4" i="27"/>
  <c r="CX4" i="27"/>
  <c r="CW4" i="27"/>
  <c r="CV4" i="27"/>
  <c r="CU4" i="27"/>
  <c r="CT4" i="27"/>
  <c r="CS4" i="27"/>
  <c r="CR4" i="27"/>
  <c r="CQ4" i="27"/>
  <c r="CP4" i="27"/>
  <c r="CO4" i="27"/>
  <c r="CN4" i="27"/>
  <c r="CM4" i="27"/>
  <c r="CL4" i="27"/>
  <c r="CK4" i="27"/>
  <c r="CJ4" i="27"/>
  <c r="CI4" i="27"/>
  <c r="CH4" i="27"/>
  <c r="CG4" i="27"/>
  <c r="CF4" i="27"/>
  <c r="CE4" i="27"/>
  <c r="CD4" i="27"/>
  <c r="CC4" i="27"/>
  <c r="CB4" i="27"/>
  <c r="CA4" i="27"/>
  <c r="BZ4" i="27"/>
  <c r="BY4" i="27"/>
  <c r="BX4" i="27"/>
  <c r="BW4" i="27"/>
  <c r="BV4" i="27"/>
  <c r="BU4" i="27"/>
  <c r="BT4" i="27"/>
  <c r="BS4" i="27"/>
  <c r="BR4" i="27"/>
  <c r="BQ4" i="27"/>
  <c r="BP4" i="27"/>
  <c r="BO4" i="27"/>
  <c r="BN4" i="27"/>
  <c r="BM4" i="27"/>
  <c r="BL4" i="27"/>
  <c r="BK4" i="27"/>
  <c r="BJ4" i="27"/>
  <c r="BI4" i="27"/>
  <c r="BH4" i="27"/>
  <c r="BG4" i="27"/>
  <c r="BF4" i="27"/>
  <c r="BE4" i="27"/>
  <c r="BD4" i="27"/>
  <c r="BC4" i="27"/>
  <c r="BB4" i="27"/>
  <c r="BA4" i="27"/>
  <c r="AZ4" i="27"/>
  <c r="AY4" i="27"/>
  <c r="AX4" i="27"/>
  <c r="AW4" i="27"/>
  <c r="AV4" i="27"/>
  <c r="AU4" i="27"/>
  <c r="AT4" i="27"/>
  <c r="AS4" i="27"/>
  <c r="AR4" i="27"/>
  <c r="AQ4" i="27"/>
  <c r="AP4" i="27"/>
  <c r="AO4" i="27"/>
  <c r="AN4" i="27"/>
  <c r="AM4" i="27"/>
  <c r="AL4" i="27"/>
  <c r="AK4" i="27"/>
  <c r="AJ4" i="27"/>
  <c r="AI4" i="27"/>
  <c r="AH4" i="27"/>
  <c r="AG4" i="27"/>
  <c r="AF4" i="27"/>
  <c r="AE4" i="27"/>
  <c r="AC4" i="27"/>
  <c r="AB4" i="27"/>
  <c r="AA4" i="27"/>
  <c r="Z4" i="27"/>
  <c r="Y4" i="27"/>
  <c r="V4" i="27"/>
  <c r="U4" i="27"/>
  <c r="T4" i="27"/>
  <c r="S4" i="27"/>
  <c r="R4" i="27"/>
  <c r="Q4" i="27"/>
  <c r="P4" i="27"/>
  <c r="O4" i="27"/>
  <c r="N4" i="27"/>
  <c r="M4" i="27"/>
  <c r="L4" i="27"/>
  <c r="K4" i="27"/>
  <c r="J4" i="27"/>
  <c r="I4" i="27"/>
  <c r="H4" i="27"/>
  <c r="G4" i="27"/>
  <c r="E24" i="27" s="1"/>
  <c r="F4" i="27"/>
  <c r="D24" i="27" s="1"/>
  <c r="E4" i="27"/>
  <c r="C24" i="27" s="1"/>
  <c r="D4" i="27"/>
  <c r="B24" i="27" s="1"/>
  <c r="ACE3" i="27"/>
  <c r="ACC3" i="27"/>
  <c r="ACB3" i="27"/>
  <c r="ABK3" i="27"/>
  <c r="ABI3" i="27"/>
  <c r="ABH3" i="27"/>
  <c r="SG3" i="27"/>
  <c r="SF3" i="27"/>
  <c r="SE3" i="27"/>
  <c r="SD3" i="27"/>
  <c r="SC3" i="27"/>
  <c r="SB3" i="27"/>
  <c r="SA3" i="27"/>
  <c r="RZ3" i="27"/>
  <c r="RY3" i="27"/>
  <c r="RX3" i="27"/>
  <c r="RW3" i="27"/>
  <c r="RV3" i="27"/>
  <c r="RU3" i="27"/>
  <c r="RT3" i="27"/>
  <c r="RS3" i="27"/>
  <c r="RR3" i="27"/>
  <c r="RQ3" i="27"/>
  <c r="RP3" i="27"/>
  <c r="RO3" i="27"/>
  <c r="RN3" i="27"/>
  <c r="RM3" i="27"/>
  <c r="RL3" i="27"/>
  <c r="RK3" i="27"/>
  <c r="RJ3" i="27"/>
  <c r="RI3" i="27"/>
  <c r="RH3" i="27"/>
  <c r="RG3" i="27"/>
  <c r="RF3" i="27"/>
  <c r="RE3" i="27"/>
  <c r="RD3" i="27"/>
  <c r="RC3" i="27"/>
  <c r="RB3" i="27"/>
  <c r="RA3" i="27"/>
  <c r="QZ3" i="27"/>
  <c r="QY3" i="27"/>
  <c r="QX3" i="27"/>
  <c r="QW3" i="27"/>
  <c r="QV3" i="27"/>
  <c r="QU3" i="27"/>
  <c r="QT3" i="27"/>
  <c r="QS3" i="27"/>
  <c r="QR3" i="27"/>
  <c r="QQ3" i="27"/>
  <c r="QP3" i="27"/>
  <c r="QO3" i="27"/>
  <c r="QN3" i="27"/>
  <c r="QM3" i="27"/>
  <c r="QL3" i="27"/>
  <c r="QK3" i="27"/>
  <c r="QJ3" i="27"/>
  <c r="QI3" i="27"/>
  <c r="QH3" i="27"/>
  <c r="QG3" i="27"/>
  <c r="QF3" i="27"/>
  <c r="QE3" i="27"/>
  <c r="QD3" i="27"/>
  <c r="QC3" i="27"/>
  <c r="QB3" i="27"/>
  <c r="QA3" i="27"/>
  <c r="PZ3" i="27"/>
  <c r="PY3" i="27"/>
  <c r="PX3" i="27"/>
  <c r="PW3" i="27"/>
  <c r="PV3" i="27"/>
  <c r="PU3" i="27"/>
  <c r="PT3" i="27"/>
  <c r="PS3" i="27"/>
  <c r="PR3" i="27"/>
  <c r="PQ3" i="27"/>
  <c r="PP3" i="27"/>
  <c r="PO3" i="27"/>
  <c r="PN3" i="27"/>
  <c r="PM3" i="27"/>
  <c r="PL3" i="27"/>
  <c r="PK3" i="27"/>
  <c r="PJ3" i="27"/>
  <c r="PI3" i="27"/>
  <c r="PH3" i="27"/>
  <c r="PG3" i="27"/>
  <c r="PF3" i="27"/>
  <c r="PE3" i="27"/>
  <c r="PD3" i="27"/>
  <c r="PC3" i="27"/>
  <c r="PB3" i="27"/>
  <c r="PA3" i="27"/>
  <c r="OZ3" i="27"/>
  <c r="OY3" i="27"/>
  <c r="OX3" i="27"/>
  <c r="OW3" i="27"/>
  <c r="OV3" i="27"/>
  <c r="OU3" i="27"/>
  <c r="OT3" i="27"/>
  <c r="OS3" i="27"/>
  <c r="OR3" i="27"/>
  <c r="OQ3" i="27"/>
  <c r="OP3" i="27"/>
  <c r="OO3" i="27"/>
  <c r="ON3" i="27"/>
  <c r="OM3" i="27"/>
  <c r="OL3" i="27"/>
  <c r="OK3" i="27"/>
  <c r="OJ3" i="27"/>
  <c r="OI3" i="27"/>
  <c r="OH3" i="27"/>
  <c r="OG3" i="27"/>
  <c r="OF3" i="27"/>
  <c r="OE3" i="27"/>
  <c r="OD3" i="27"/>
  <c r="OC3" i="27"/>
  <c r="OB3" i="27"/>
  <c r="OA3" i="27"/>
  <c r="NZ3" i="27"/>
  <c r="NY3" i="27"/>
  <c r="NX3" i="27"/>
  <c r="NW3" i="27"/>
  <c r="NV3" i="27"/>
  <c r="NU3" i="27"/>
  <c r="NT3" i="27"/>
  <c r="NS3" i="27"/>
  <c r="NR3" i="27"/>
  <c r="NQ3" i="27"/>
  <c r="NP3" i="27"/>
  <c r="NO3" i="27"/>
  <c r="NN3" i="27"/>
  <c r="NM3" i="27"/>
  <c r="NL3" i="27"/>
  <c r="NK3" i="27"/>
  <c r="NJ3" i="27"/>
  <c r="NI3" i="27"/>
  <c r="NH3" i="27"/>
  <c r="NG3" i="27"/>
  <c r="NF3" i="27"/>
  <c r="NE3" i="27"/>
  <c r="ND3" i="27"/>
  <c r="NC3" i="27"/>
  <c r="NB3" i="27"/>
  <c r="NA3" i="27"/>
  <c r="MZ3" i="27"/>
  <c r="MY3" i="27"/>
  <c r="MX3" i="27"/>
  <c r="MW3" i="27"/>
  <c r="MV3" i="27"/>
  <c r="MU3" i="27"/>
  <c r="MT3" i="27"/>
  <c r="MS3" i="27"/>
  <c r="MR3" i="27"/>
  <c r="MQ3" i="27"/>
  <c r="MP3" i="27"/>
  <c r="MO3" i="27"/>
  <c r="MN3" i="27"/>
  <c r="MM3" i="27"/>
  <c r="ML3" i="27"/>
  <c r="MC3" i="27"/>
  <c r="MB3" i="27"/>
  <c r="MA3" i="27"/>
  <c r="LZ3" i="27"/>
  <c r="LY3" i="27"/>
  <c r="LX3" i="27"/>
  <c r="LW3" i="27"/>
  <c r="LV3" i="27"/>
  <c r="LU3" i="27"/>
  <c r="LT3" i="27"/>
  <c r="LS3" i="27"/>
  <c r="LR3" i="27"/>
  <c r="LQ3" i="27"/>
  <c r="LP3" i="27"/>
  <c r="LO3" i="27"/>
  <c r="LN3" i="27"/>
  <c r="LM3" i="27"/>
  <c r="LL3" i="27"/>
  <c r="LK3" i="27"/>
  <c r="LJ3" i="27"/>
  <c r="LI3" i="27"/>
  <c r="LH3" i="27"/>
  <c r="LG3" i="27"/>
  <c r="LF3" i="27"/>
  <c r="LE3" i="27"/>
  <c r="LD3" i="27"/>
  <c r="KJ3" i="27"/>
  <c r="KI3" i="27"/>
  <c r="KH3" i="27"/>
  <c r="KG3" i="27"/>
  <c r="KF3" i="27"/>
  <c r="KE3" i="27"/>
  <c r="KD3" i="27"/>
  <c r="KC3" i="27"/>
  <c r="JW3" i="27"/>
  <c r="JV3" i="27"/>
  <c r="JU3" i="27"/>
  <c r="JT3" i="27"/>
  <c r="JS3" i="27"/>
  <c r="JR3" i="27"/>
  <c r="JQ3" i="27"/>
  <c r="JP3" i="27"/>
  <c r="JO3" i="27"/>
  <c r="JN3" i="27"/>
  <c r="JM3" i="27"/>
  <c r="JL3" i="27"/>
  <c r="JK3" i="27"/>
  <c r="JJ3" i="27"/>
  <c r="JI3" i="27"/>
  <c r="JH3" i="27"/>
  <c r="JG3" i="27"/>
  <c r="JF3" i="27"/>
  <c r="JE3" i="27"/>
  <c r="JD3" i="27"/>
  <c r="JC3" i="27"/>
  <c r="JB3" i="27"/>
  <c r="JA3" i="27"/>
  <c r="IZ3" i="27"/>
  <c r="IY3" i="27"/>
  <c r="IX3" i="27"/>
  <c r="IW3" i="27"/>
  <c r="IV3" i="27"/>
  <c r="IU3" i="27"/>
  <c r="IT3" i="27"/>
  <c r="IS3" i="27"/>
  <c r="IR3" i="27"/>
  <c r="IQ3" i="27"/>
  <c r="IP3" i="27"/>
  <c r="IO3" i="27"/>
  <c r="IN3" i="27"/>
  <c r="IM3" i="27"/>
  <c r="IL3" i="27"/>
  <c r="IK3" i="27"/>
  <c r="IJ3" i="27"/>
  <c r="II3" i="27"/>
  <c r="IH3" i="27"/>
  <c r="IG3" i="27"/>
  <c r="IF3" i="27"/>
  <c r="IE3" i="27"/>
  <c r="ID3" i="27"/>
  <c r="IC3" i="27"/>
  <c r="IB3" i="27"/>
  <c r="IA3" i="27"/>
  <c r="HZ3" i="27"/>
  <c r="HY3" i="27"/>
  <c r="HX3" i="27"/>
  <c r="HW3" i="27"/>
  <c r="HV3" i="27"/>
  <c r="HU3" i="27"/>
  <c r="HT3" i="27"/>
  <c r="HS3" i="27"/>
  <c r="HR3" i="27"/>
  <c r="HQ3" i="27"/>
  <c r="HP3" i="27"/>
  <c r="HO3" i="27"/>
  <c r="HN3" i="27"/>
  <c r="HM3" i="27"/>
  <c r="HL3" i="27"/>
  <c r="HK3" i="27"/>
  <c r="HJ3" i="27"/>
  <c r="HI3" i="27"/>
  <c r="HH3" i="27"/>
  <c r="HG3" i="27"/>
  <c r="HF3" i="27"/>
  <c r="HE3" i="27"/>
  <c r="HD3" i="27"/>
  <c r="HC3" i="27"/>
  <c r="HB3" i="27"/>
  <c r="HA3" i="27"/>
  <c r="GZ3" i="27"/>
  <c r="GY3" i="27"/>
  <c r="GX3" i="27"/>
  <c r="GW3" i="27"/>
  <c r="GV3" i="27"/>
  <c r="GU3" i="27"/>
  <c r="GT3" i="27"/>
  <c r="GS3" i="27"/>
  <c r="GR3" i="27"/>
  <c r="GQ3" i="27"/>
  <c r="GP3" i="27"/>
  <c r="GO3" i="27"/>
  <c r="GN3" i="27"/>
  <c r="GM3" i="27"/>
  <c r="GL3" i="27"/>
  <c r="GK3" i="27"/>
  <c r="GJ3" i="27"/>
  <c r="GI3" i="27"/>
  <c r="GH3" i="27"/>
  <c r="GG3" i="27"/>
  <c r="GF3" i="27"/>
  <c r="GE3" i="27"/>
  <c r="GD3" i="27"/>
  <c r="GC3" i="27"/>
  <c r="GB3" i="27"/>
  <c r="GA3" i="27"/>
  <c r="FZ3" i="27"/>
  <c r="FY3" i="27"/>
  <c r="FX3" i="27"/>
  <c r="FW3" i="27"/>
  <c r="FV3" i="27"/>
  <c r="FU3" i="27"/>
  <c r="FT3" i="27"/>
  <c r="FS3" i="27"/>
  <c r="FR3" i="27"/>
  <c r="FQ3" i="27"/>
  <c r="FP3" i="27"/>
  <c r="FO3" i="27"/>
  <c r="FN3" i="27"/>
  <c r="FM3" i="27"/>
  <c r="FL3" i="27"/>
  <c r="FK3" i="27"/>
  <c r="FJ3" i="27"/>
  <c r="FI3" i="27"/>
  <c r="FH3" i="27"/>
  <c r="FG3" i="27"/>
  <c r="FF3" i="27"/>
  <c r="FE3" i="27"/>
  <c r="FD3" i="27"/>
  <c r="FC3" i="27"/>
  <c r="FB3" i="27"/>
  <c r="FA3" i="27"/>
  <c r="EZ3" i="27"/>
  <c r="EY3" i="27"/>
  <c r="EX3" i="27"/>
  <c r="EW3" i="27"/>
  <c r="EV3" i="27"/>
  <c r="EU3" i="27"/>
  <c r="ET3" i="27"/>
  <c r="ES3" i="27"/>
  <c r="ER3" i="27"/>
  <c r="EQ3" i="27"/>
  <c r="EP3" i="27"/>
  <c r="EO3" i="27"/>
  <c r="EN3" i="27"/>
  <c r="EM3" i="27"/>
  <c r="EL3" i="27"/>
  <c r="EK3" i="27"/>
  <c r="EJ3" i="27"/>
  <c r="EI3" i="27"/>
  <c r="EH3" i="27"/>
  <c r="EG3" i="27"/>
  <c r="EF3" i="27"/>
  <c r="EE3" i="27"/>
  <c r="ED3" i="27"/>
  <c r="EC3" i="27"/>
  <c r="EB3" i="27"/>
  <c r="EA3" i="27"/>
  <c r="DZ3" i="27"/>
  <c r="DY3" i="27"/>
  <c r="DX3" i="27"/>
  <c r="DW3" i="27"/>
  <c r="DV3" i="27"/>
  <c r="DU3" i="27"/>
  <c r="DT3" i="27"/>
  <c r="DS3" i="27"/>
  <c r="DR3" i="27"/>
  <c r="DQ3" i="27"/>
  <c r="DP3" i="27"/>
  <c r="DO3" i="27"/>
  <c r="DN3" i="27"/>
  <c r="DM3" i="27"/>
  <c r="DL3" i="27"/>
  <c r="DK3" i="27"/>
  <c r="DJ3" i="27"/>
  <c r="DI3" i="27"/>
  <c r="DH3" i="27"/>
  <c r="DG3" i="27"/>
  <c r="DF3" i="27"/>
  <c r="DE3" i="27"/>
  <c r="DD3" i="27"/>
  <c r="DC3" i="27"/>
  <c r="DB3" i="27"/>
  <c r="DA3" i="27"/>
  <c r="CZ3" i="27"/>
  <c r="CY3" i="27"/>
  <c r="CX3" i="27"/>
  <c r="CW3" i="27"/>
  <c r="CV3" i="27"/>
  <c r="CU3" i="27"/>
  <c r="CT3" i="27"/>
  <c r="CS3" i="27"/>
  <c r="CR3" i="27"/>
  <c r="CQ3" i="27"/>
  <c r="CP3" i="27"/>
  <c r="CO3" i="27"/>
  <c r="CN3" i="27"/>
  <c r="CM3" i="27"/>
  <c r="CL3" i="27"/>
  <c r="CK3" i="27"/>
  <c r="CJ3" i="27"/>
  <c r="CI3" i="27"/>
  <c r="CH3" i="27"/>
  <c r="CG3" i="27"/>
  <c r="CF3" i="27"/>
  <c r="CE3" i="27"/>
  <c r="CD3" i="27"/>
  <c r="CC3" i="27"/>
  <c r="CB3" i="27"/>
  <c r="CA3" i="27"/>
  <c r="BY3" i="27"/>
  <c r="BX3" i="27"/>
  <c r="BW3" i="27"/>
  <c r="BV3" i="27"/>
  <c r="BU3" i="27"/>
  <c r="BT3" i="27"/>
  <c r="BS3" i="27"/>
  <c r="BR3" i="27"/>
  <c r="BQ3" i="27"/>
  <c r="BP3" i="27"/>
  <c r="BO3" i="27"/>
  <c r="BN3" i="27"/>
  <c r="BM3" i="27"/>
  <c r="BL3" i="27"/>
  <c r="BK3" i="27"/>
  <c r="BJ3" i="27"/>
  <c r="BI3" i="27"/>
  <c r="BH3" i="27"/>
  <c r="BG3" i="27"/>
  <c r="BF3" i="27"/>
  <c r="BE3" i="27"/>
  <c r="BD3" i="27"/>
  <c r="BC3" i="27"/>
  <c r="BB3" i="27"/>
  <c r="BA3" i="27"/>
  <c r="AZ3" i="27"/>
  <c r="AY3" i="27"/>
  <c r="AX3" i="27"/>
  <c r="AW3" i="27"/>
  <c r="AV3" i="27"/>
  <c r="AU3" i="27"/>
  <c r="AT3" i="27"/>
  <c r="AS3" i="27"/>
  <c r="ABN2" i="27"/>
  <c r="ABK2" i="27" s="1"/>
  <c r="ABH2" i="27"/>
  <c r="SG2" i="27"/>
  <c r="SF2" i="27"/>
  <c r="SE2" i="27"/>
  <c r="SD2" i="27"/>
  <c r="SC2" i="27"/>
  <c r="SB2" i="27"/>
  <c r="SA2" i="27"/>
  <c r="RZ2" i="27"/>
  <c r="RY2" i="27"/>
  <c r="RX2" i="27"/>
  <c r="RW2" i="27"/>
  <c r="RV2" i="27"/>
  <c r="RU2" i="27"/>
  <c r="RT2" i="27"/>
  <c r="RS2" i="27"/>
  <c r="RR2" i="27"/>
  <c r="RQ2" i="27"/>
  <c r="RP2" i="27"/>
  <c r="RO2" i="27"/>
  <c r="RN2" i="27"/>
  <c r="RM2" i="27"/>
  <c r="RL2" i="27"/>
  <c r="RK2" i="27"/>
  <c r="RJ2" i="27"/>
  <c r="RI2" i="27"/>
  <c r="RH2" i="27"/>
  <c r="RG2" i="27"/>
  <c r="RF2" i="27"/>
  <c r="RE2" i="27"/>
  <c r="RD2" i="27"/>
  <c r="RC2" i="27"/>
  <c r="RB2" i="27"/>
  <c r="RA2" i="27"/>
  <c r="QZ2" i="27"/>
  <c r="QY2" i="27"/>
  <c r="QX2" i="27"/>
  <c r="QW2" i="27"/>
  <c r="QV2" i="27"/>
  <c r="QU2" i="27"/>
  <c r="QT2" i="27"/>
  <c r="QS2" i="27"/>
  <c r="QR2" i="27"/>
  <c r="QQ2" i="27"/>
  <c r="QP2" i="27"/>
  <c r="QO2" i="27"/>
  <c r="QN2" i="27"/>
  <c r="QM2" i="27"/>
  <c r="QL2" i="27"/>
  <c r="QK2" i="27"/>
  <c r="QJ2" i="27"/>
  <c r="QI2" i="27"/>
  <c r="QH2" i="27"/>
  <c r="QG2" i="27"/>
  <c r="QF2" i="27"/>
  <c r="QE2" i="27"/>
  <c r="QD2" i="27"/>
  <c r="QC2" i="27"/>
  <c r="QB2" i="27"/>
  <c r="QA2" i="27"/>
  <c r="PZ2" i="27"/>
  <c r="PY2" i="27"/>
  <c r="PX2" i="27"/>
  <c r="PW2" i="27"/>
  <c r="PV2" i="27"/>
  <c r="PU2" i="27"/>
  <c r="PT2" i="27"/>
  <c r="PS2" i="27"/>
  <c r="PR2" i="27"/>
  <c r="PQ2" i="27"/>
  <c r="PP2" i="27"/>
  <c r="PO2" i="27"/>
  <c r="PN2" i="27"/>
  <c r="PM2" i="27"/>
  <c r="PL2" i="27"/>
  <c r="PK2" i="27"/>
  <c r="PJ2" i="27"/>
  <c r="PI2" i="27"/>
  <c r="PH2" i="27"/>
  <c r="PG2" i="27"/>
  <c r="PF2" i="27"/>
  <c r="PE2" i="27"/>
  <c r="PD2" i="27"/>
  <c r="PC2" i="27"/>
  <c r="PB2" i="27"/>
  <c r="PA2" i="27"/>
  <c r="OZ2" i="27"/>
  <c r="OY2" i="27"/>
  <c r="OX2" i="27"/>
  <c r="OW2" i="27"/>
  <c r="OV2" i="27"/>
  <c r="OU2" i="27"/>
  <c r="OT2" i="27"/>
  <c r="OS2" i="27"/>
  <c r="OR2" i="27"/>
  <c r="OQ2" i="27"/>
  <c r="OP2" i="27"/>
  <c r="OO2" i="27"/>
  <c r="ON2" i="27"/>
  <c r="OM2" i="27"/>
  <c r="OL2" i="27"/>
  <c r="OK2" i="27"/>
  <c r="OJ2" i="27"/>
  <c r="OI2" i="27"/>
  <c r="OH2" i="27"/>
  <c r="OG2" i="27"/>
  <c r="OF2" i="27"/>
  <c r="OE2" i="27"/>
  <c r="OD2" i="27"/>
  <c r="OC2" i="27"/>
  <c r="OB2" i="27"/>
  <c r="OA2" i="27"/>
  <c r="NZ2" i="27"/>
  <c r="NY2" i="27"/>
  <c r="NX2" i="27"/>
  <c r="NW2" i="27"/>
  <c r="NV2" i="27"/>
  <c r="NU2" i="27"/>
  <c r="NT2" i="27"/>
  <c r="NS2" i="27"/>
  <c r="NR2" i="27"/>
  <c r="NQ2" i="27"/>
  <c r="NP2" i="27"/>
  <c r="NO2" i="27"/>
  <c r="NN2" i="27"/>
  <c r="NM2" i="27"/>
  <c r="NL2" i="27"/>
  <c r="NK2" i="27"/>
  <c r="NJ2" i="27"/>
  <c r="NI2" i="27"/>
  <c r="NH2" i="27"/>
  <c r="NG2" i="27"/>
  <c r="NF2" i="27"/>
  <c r="NE2" i="27"/>
  <c r="ND2" i="27"/>
  <c r="NC2" i="27"/>
  <c r="NB2" i="27"/>
  <c r="NA2" i="27"/>
  <c r="MZ2" i="27"/>
  <c r="MY2" i="27"/>
  <c r="MX2" i="27"/>
  <c r="MW2" i="27"/>
  <c r="MV2" i="27"/>
  <c r="MU2" i="27"/>
  <c r="MT2" i="27"/>
  <c r="MS2" i="27"/>
  <c r="MR2" i="27"/>
  <c r="MQ2" i="27"/>
  <c r="MP2" i="27"/>
  <c r="MO2" i="27"/>
  <c r="MN2" i="27"/>
  <c r="MM2" i="27"/>
  <c r="ML2" i="27"/>
  <c r="MK2" i="27"/>
  <c r="MJ2" i="27"/>
  <c r="MI2" i="27"/>
  <c r="MH2" i="27"/>
  <c r="MG2" i="27"/>
  <c r="MF2" i="27"/>
  <c r="ME2" i="27"/>
  <c r="MD2" i="27"/>
  <c r="MC2" i="27"/>
  <c r="MB2" i="27"/>
  <c r="MA2" i="27"/>
  <c r="LZ2" i="27"/>
  <c r="LY2" i="27"/>
  <c r="LX2" i="27"/>
  <c r="LW2" i="27"/>
  <c r="LV2" i="27"/>
  <c r="LU2" i="27"/>
  <c r="LT2" i="27"/>
  <c r="LS2" i="27"/>
  <c r="LR2" i="27"/>
  <c r="LQ2" i="27"/>
  <c r="LP2" i="27"/>
  <c r="LO2" i="27"/>
  <c r="LN2" i="27"/>
  <c r="LM2" i="27"/>
  <c r="LL2" i="27"/>
  <c r="LK2" i="27"/>
  <c r="LJ2" i="27"/>
  <c r="LI2" i="27"/>
  <c r="LH2" i="27"/>
  <c r="LG2" i="27"/>
  <c r="LF2" i="27"/>
  <c r="LE2" i="27"/>
  <c r="LD2" i="27"/>
  <c r="LC2" i="27"/>
  <c r="LB2" i="27"/>
  <c r="LA2" i="27"/>
  <c r="KZ2" i="27"/>
  <c r="KY2" i="27"/>
  <c r="KX2" i="27"/>
  <c r="KW2" i="27"/>
  <c r="KV2" i="27"/>
  <c r="Q2" i="27"/>
  <c r="WJ63" i="27" l="1"/>
  <c r="ABU61" i="27"/>
  <c r="ABI61" i="27" s="1"/>
  <c r="ABJ61" i="27" s="1"/>
  <c r="ABU62" i="27"/>
  <c r="ABI62" i="27" s="1"/>
  <c r="ABG60" i="27"/>
  <c r="ABH4" i="27"/>
  <c r="WJ69" i="27"/>
  <c r="ABI4" i="27"/>
  <c r="ABH65" i="27"/>
  <c r="WJ61" i="27"/>
  <c r="ACF64" i="27"/>
  <c r="ACH64" i="27" s="1"/>
  <c r="ABJ62" i="27"/>
  <c r="ABT62" i="27" s="1"/>
  <c r="ABK62" i="27" s="1"/>
  <c r="ABJ59" i="27"/>
  <c r="ABT59" i="27"/>
  <c r="ABK59" i="27" s="1"/>
  <c r="ABJ63" i="27"/>
  <c r="ABT63" i="27" s="1"/>
  <c r="ABK63" i="27" s="1"/>
  <c r="ABG58" i="27"/>
  <c r="WJ64" i="27"/>
  <c r="ABI2" i="27"/>
  <c r="WJ62" i="27"/>
  <c r="ABU64" i="27"/>
  <c r="ABI64" i="27" s="1"/>
  <c r="ACF68" i="27"/>
  <c r="ACH68" i="27" s="1"/>
  <c r="ABU60" i="27" l="1"/>
  <c r="ABI60" i="27" s="1"/>
  <c r="WJ68" i="27"/>
  <c r="ST58" i="27"/>
  <c r="WJ60" i="27"/>
  <c r="ABT61" i="27"/>
  <c r="ABK61" i="27" s="1"/>
  <c r="ABL61" i="27" s="1"/>
  <c r="ABM63" i="27"/>
  <c r="ABL63" i="27"/>
  <c r="ABM62" i="27"/>
  <c r="ABL62" i="27"/>
  <c r="ABJ64" i="27"/>
  <c r="ABM59" i="27"/>
  <c r="ABL59" i="27"/>
  <c r="WJ58" i="27"/>
  <c r="ABH56" i="27"/>
  <c r="ABF56" i="27"/>
  <c r="ABG65" i="27"/>
  <c r="ABM68" i="27"/>
  <c r="ABU58" i="27"/>
  <c r="ABI58" i="27" s="1"/>
  <c r="WJ67" i="27"/>
  <c r="ABM61" i="27" l="1"/>
  <c r="ABJ60" i="27"/>
  <c r="ABJ58" i="27"/>
  <c r="ABT58" i="27" s="1"/>
  <c r="ABK58" i="27" s="1"/>
  <c r="ABI65" i="27"/>
  <c r="ABT64" i="27"/>
  <c r="ABK64" i="27" s="1"/>
  <c r="E50" i="25"/>
  <c r="E49" i="25"/>
  <c r="E48" i="25"/>
  <c r="E47" i="25"/>
  <c r="E46" i="25"/>
  <c r="E45" i="25"/>
  <c r="E44" i="25"/>
  <c r="E43" i="25"/>
  <c r="E42" i="25"/>
  <c r="ABT60" i="27" l="1"/>
  <c r="ABK60" i="27" s="1"/>
  <c r="ABM58" i="27"/>
  <c r="ABL58" i="27"/>
  <c r="ABL64" i="27"/>
  <c r="ABM64" i="27"/>
  <c r="ABJ65" i="27"/>
  <c r="ABJ56" i="27"/>
  <c r="ABL60" i="27" l="1"/>
  <c r="ABM60" i="27"/>
  <c r="ABK65" i="27"/>
  <c r="B26" i="26"/>
  <c r="B20" i="26"/>
  <c r="G26" i="26"/>
  <c r="F26" i="26"/>
  <c r="E26" i="26"/>
  <c r="D26" i="26"/>
  <c r="C26" i="26"/>
  <c r="G20" i="26"/>
  <c r="F20" i="26"/>
  <c r="E20" i="26"/>
  <c r="D20" i="26"/>
  <c r="C20" i="26"/>
  <c r="E5" i="26"/>
  <c r="E6" i="26" s="1"/>
  <c r="E2" i="26"/>
  <c r="D5" i="26"/>
  <c r="D6" i="26" s="1"/>
  <c r="D2" i="26"/>
  <c r="C5" i="26"/>
  <c r="G27" i="26" s="1"/>
  <c r="G28" i="26" s="1"/>
  <c r="G34" i="26" s="1"/>
  <c r="ABL65" i="27" l="1"/>
  <c r="ABM65" i="27"/>
  <c r="B21" i="26"/>
  <c r="B22" i="26" s="1"/>
  <c r="B35" i="26" s="1"/>
  <c r="B27" i="26"/>
  <c r="B28" i="26" s="1"/>
  <c r="B34" i="26" s="1"/>
  <c r="F21" i="26"/>
  <c r="F22" i="26" s="1"/>
  <c r="F35" i="26" s="1"/>
  <c r="G21" i="26"/>
  <c r="G22" i="26" s="1"/>
  <c r="G35" i="26" s="1"/>
  <c r="C21" i="26"/>
  <c r="C22" i="26" s="1"/>
  <c r="C35" i="26" s="1"/>
  <c r="C27" i="26"/>
  <c r="C28" i="26" s="1"/>
  <c r="C34" i="26" s="1"/>
  <c r="D27" i="26"/>
  <c r="D28" i="26" s="1"/>
  <c r="D34" i="26" s="1"/>
  <c r="E27" i="26"/>
  <c r="E28" i="26" s="1"/>
  <c r="E34" i="26" s="1"/>
  <c r="D21" i="26"/>
  <c r="D22" i="26" s="1"/>
  <c r="D35" i="26" s="1"/>
  <c r="F27" i="26"/>
  <c r="F28" i="26" s="1"/>
  <c r="F34" i="26" s="1"/>
  <c r="E21" i="26"/>
  <c r="E22" i="26" s="1"/>
  <c r="E35" i="26" s="1"/>
  <c r="G13" i="26" l="1"/>
  <c r="G14" i="26" s="1"/>
  <c r="G16" i="26" s="1"/>
  <c r="G37" i="26" s="1"/>
  <c r="F13" i="26" l="1"/>
  <c r="F14" i="26" s="1"/>
  <c r="F16" i="26" s="1"/>
  <c r="F37" i="26" s="1"/>
  <c r="E13" i="26"/>
  <c r="E14" i="26" s="1"/>
  <c r="E16" i="26" s="1"/>
  <c r="E37" i="26" s="1"/>
  <c r="D13" i="26"/>
  <c r="D14" i="26" s="1"/>
  <c r="D16" i="26" s="1"/>
  <c r="D37" i="26" s="1"/>
  <c r="C13" i="26"/>
  <c r="C14" i="26" s="1"/>
  <c r="C16" i="26" s="1"/>
  <c r="C37" i="26" s="1"/>
  <c r="B13" i="26" l="1"/>
  <c r="C2" i="26"/>
  <c r="C6" i="26"/>
  <c r="B14" i="26" l="1"/>
  <c r="B16" i="26" s="1"/>
  <c r="B37" i="26" s="1"/>
  <c r="UU60" i="21"/>
  <c r="B7" i="22" s="1"/>
  <c r="AIK59" i="1"/>
  <c r="C4" i="28" s="1"/>
  <c r="AIJ59" i="1"/>
  <c r="AIK90" i="1" l="1"/>
  <c r="C63" i="31" s="1"/>
  <c r="C93" i="30" s="1"/>
  <c r="J30" i="25"/>
  <c r="UX106" i="21"/>
  <c r="UX105" i="21"/>
  <c r="UX104" i="21"/>
  <c r="UX107" i="21" s="1"/>
  <c r="VV74" i="21"/>
  <c r="VX74" i="21" s="1"/>
  <c r="VU74" i="21"/>
  <c r="VZ74" i="21" s="1"/>
  <c r="UW74" i="21"/>
  <c r="UV7" i="21" s="1"/>
  <c r="UW7" i="21" s="1"/>
  <c r="UU74" i="21"/>
  <c r="UU73" i="21"/>
  <c r="UW72" i="21"/>
  <c r="VU71" i="21"/>
  <c r="VZ71" i="21" s="1"/>
  <c r="UW71" i="21"/>
  <c r="UU71" i="21"/>
  <c r="VZ70" i="21"/>
  <c r="VS70" i="21"/>
  <c r="UV67" i="21"/>
  <c r="UV66" i="21"/>
  <c r="VT63" i="21"/>
  <c r="VY63" i="21" s="1"/>
  <c r="UV63" i="21"/>
  <c r="UU63" i="21"/>
  <c r="B5" i="22" s="1"/>
  <c r="SJ63" i="21"/>
  <c r="UV62" i="21"/>
  <c r="UU62" i="21"/>
  <c r="B9" i="25" s="1"/>
  <c r="SJ62" i="21"/>
  <c r="UU61" i="21"/>
  <c r="B8" i="22" s="1"/>
  <c r="C44" i="29"/>
  <c r="UU59" i="21"/>
  <c r="B6" i="22" s="1"/>
  <c r="GI30" i="21"/>
  <c r="GG30" i="21"/>
  <c r="GI28" i="21"/>
  <c r="GG28" i="21"/>
  <c r="GI27" i="21"/>
  <c r="GG27" i="21"/>
  <c r="GI26" i="21"/>
  <c r="GG26" i="21"/>
  <c r="GI25" i="21"/>
  <c r="GG25" i="21"/>
  <c r="GI24" i="21"/>
  <c r="GG24" i="21"/>
  <c r="GI23" i="21"/>
  <c r="GG23" i="21"/>
  <c r="GI22" i="21"/>
  <c r="GG22" i="21"/>
  <c r="D22" i="21"/>
  <c r="C22" i="21"/>
  <c r="B22" i="21"/>
  <c r="GI21" i="21"/>
  <c r="GG21" i="21"/>
  <c r="E21" i="21"/>
  <c r="D21" i="21"/>
  <c r="C21" i="21"/>
  <c r="B21" i="21"/>
  <c r="GI20" i="21"/>
  <c r="GG20" i="21"/>
  <c r="CU20" i="21"/>
  <c r="GI19" i="21"/>
  <c r="GG19" i="21"/>
  <c r="GI18" i="21"/>
  <c r="GG18" i="21"/>
  <c r="E18" i="21"/>
  <c r="D18" i="21"/>
  <c r="C18" i="21"/>
  <c r="B18" i="21"/>
  <c r="GI17" i="21"/>
  <c r="GG17" i="21"/>
  <c r="GI16" i="21"/>
  <c r="GG16" i="21"/>
  <c r="KJ6" i="21"/>
  <c r="KI6" i="21"/>
  <c r="KH6" i="21"/>
  <c r="KG6" i="21"/>
  <c r="KF6" i="21"/>
  <c r="KE6" i="21"/>
  <c r="KD6" i="21"/>
  <c r="JE6" i="21"/>
  <c r="JD6" i="21"/>
  <c r="JC6" i="21"/>
  <c r="JB6" i="21"/>
  <c r="JA6" i="21"/>
  <c r="IZ6" i="21"/>
  <c r="IY6" i="21"/>
  <c r="IX6" i="21"/>
  <c r="IW6" i="21"/>
  <c r="IV6" i="21"/>
  <c r="IU6" i="21"/>
  <c r="IT6" i="21"/>
  <c r="IS6" i="21"/>
  <c r="IR6" i="21"/>
  <c r="IQ6" i="21"/>
  <c r="IP6" i="21"/>
  <c r="IO6" i="21"/>
  <c r="IN6" i="21"/>
  <c r="IM6" i="21"/>
  <c r="IL6" i="21"/>
  <c r="IK6" i="21"/>
  <c r="IJ6" i="21"/>
  <c r="II6" i="21"/>
  <c r="IH6" i="21"/>
  <c r="IG6" i="21"/>
  <c r="IF6" i="21"/>
  <c r="IE6" i="21"/>
  <c r="ID6" i="21"/>
  <c r="IC6" i="21"/>
  <c r="IB6" i="21"/>
  <c r="IA6" i="21"/>
  <c r="HZ6" i="21"/>
  <c r="HY6" i="21"/>
  <c r="HX6" i="21"/>
  <c r="HW6" i="21"/>
  <c r="HV6" i="21"/>
  <c r="HU6" i="21"/>
  <c r="HT6" i="21"/>
  <c r="HS6" i="21"/>
  <c r="HR6" i="21"/>
  <c r="HQ6" i="21"/>
  <c r="HP6" i="21"/>
  <c r="HO6" i="21"/>
  <c r="HN6" i="21"/>
  <c r="HM6" i="21"/>
  <c r="HL6" i="21"/>
  <c r="HK6" i="21"/>
  <c r="HJ6" i="21"/>
  <c r="HI6" i="21"/>
  <c r="HH6" i="21"/>
  <c r="HG6" i="21"/>
  <c r="HF6" i="21"/>
  <c r="HE6" i="21"/>
  <c r="HD6" i="21"/>
  <c r="HC6" i="21"/>
  <c r="HB6" i="21"/>
  <c r="HA6" i="21"/>
  <c r="GZ6" i="21"/>
  <c r="GY6" i="21"/>
  <c r="GX6" i="21"/>
  <c r="GW6" i="21"/>
  <c r="GV6" i="21"/>
  <c r="GU6" i="21"/>
  <c r="GT6" i="21"/>
  <c r="GS6" i="21"/>
  <c r="GR6" i="21"/>
  <c r="GQ6" i="21"/>
  <c r="G6" i="21"/>
  <c r="H6" i="21" s="1"/>
  <c r="I6" i="21" s="1"/>
  <c r="J6" i="21" s="1"/>
  <c r="K6" i="21" s="1"/>
  <c r="L6" i="21" s="1"/>
  <c r="M6" i="21" s="1"/>
  <c r="N6" i="21" s="1"/>
  <c r="O6" i="21" s="1"/>
  <c r="P6" i="21" s="1"/>
  <c r="Q6" i="21" s="1"/>
  <c r="R6" i="21" s="1"/>
  <c r="S6" i="21" s="1"/>
  <c r="T6" i="21" s="1"/>
  <c r="SG5" i="21"/>
  <c r="SF5" i="21"/>
  <c r="SE5" i="21"/>
  <c r="SD5" i="21"/>
  <c r="SC5" i="21"/>
  <c r="SB5" i="21"/>
  <c r="SA5" i="21"/>
  <c r="RZ5" i="21"/>
  <c r="RY5" i="21"/>
  <c r="RX5" i="21"/>
  <c r="RW5" i="21"/>
  <c r="RV5" i="21"/>
  <c r="RU5" i="21"/>
  <c r="RT5" i="21"/>
  <c r="RS5" i="21"/>
  <c r="RR5" i="21"/>
  <c r="RQ5" i="21"/>
  <c r="RP5" i="21"/>
  <c r="RO5" i="21"/>
  <c r="RN5" i="21"/>
  <c r="RM5" i="21"/>
  <c r="RL5" i="21"/>
  <c r="RK5" i="21"/>
  <c r="RJ5" i="21"/>
  <c r="RI5" i="21"/>
  <c r="RH5" i="21"/>
  <c r="RG5" i="21"/>
  <c r="RF5" i="21"/>
  <c r="RE5" i="21"/>
  <c r="RD5" i="21"/>
  <c r="RC5" i="21"/>
  <c r="RB5" i="21"/>
  <c r="RA5" i="21"/>
  <c r="QZ5" i="21"/>
  <c r="QY5" i="21"/>
  <c r="QX5" i="21"/>
  <c r="QW5" i="21"/>
  <c r="QV5" i="21"/>
  <c r="QU5" i="21"/>
  <c r="QT5" i="21"/>
  <c r="QS5" i="21"/>
  <c r="QR5" i="21"/>
  <c r="QQ5" i="21"/>
  <c r="QP5" i="21"/>
  <c r="QO5" i="21"/>
  <c r="QN5" i="21"/>
  <c r="QM5" i="21"/>
  <c r="QL5" i="21"/>
  <c r="QK5" i="21"/>
  <c r="QJ5" i="21"/>
  <c r="QI5" i="21"/>
  <c r="QH5" i="21"/>
  <c r="QG5" i="21"/>
  <c r="QF5" i="21"/>
  <c r="QE5" i="21"/>
  <c r="QD5" i="21"/>
  <c r="QC5" i="21"/>
  <c r="QB5" i="21"/>
  <c r="QA5" i="21"/>
  <c r="PZ5" i="21"/>
  <c r="PY5" i="21"/>
  <c r="PX5" i="21"/>
  <c r="PW5" i="21"/>
  <c r="PV5" i="21"/>
  <c r="PU5" i="21"/>
  <c r="PT5" i="21"/>
  <c r="PS5" i="21"/>
  <c r="PR5" i="21"/>
  <c r="PQ5" i="21"/>
  <c r="PP5" i="21"/>
  <c r="PO5" i="21"/>
  <c r="PN5" i="21"/>
  <c r="PM5" i="21"/>
  <c r="PL5" i="21"/>
  <c r="PK5" i="21"/>
  <c r="PJ5" i="21"/>
  <c r="PI5" i="21"/>
  <c r="PH5" i="21"/>
  <c r="PG5" i="21"/>
  <c r="PF5" i="21"/>
  <c r="PE5" i="21"/>
  <c r="PD5" i="21"/>
  <c r="PC5" i="21"/>
  <c r="PB5" i="21"/>
  <c r="PA5" i="21"/>
  <c r="OZ5" i="21"/>
  <c r="OY5" i="21"/>
  <c r="OX5" i="21"/>
  <c r="OW5" i="21"/>
  <c r="OV5" i="21"/>
  <c r="OU5" i="21"/>
  <c r="OT5" i="21"/>
  <c r="OS5" i="21"/>
  <c r="OR5" i="21"/>
  <c r="OQ5" i="21"/>
  <c r="OP5" i="21"/>
  <c r="OO5" i="21"/>
  <c r="ON5" i="21"/>
  <c r="OM5" i="21"/>
  <c r="OL5" i="21"/>
  <c r="OK5" i="21"/>
  <c r="OJ5" i="21"/>
  <c r="OI5" i="21"/>
  <c r="OH5" i="21"/>
  <c r="OG5" i="21"/>
  <c r="OF5" i="21"/>
  <c r="OE5" i="21"/>
  <c r="OD5" i="21"/>
  <c r="OC5" i="21"/>
  <c r="OB5" i="21"/>
  <c r="OA5" i="21"/>
  <c r="NZ5" i="21"/>
  <c r="NY5" i="21"/>
  <c r="NX5" i="21"/>
  <c r="NW5" i="21"/>
  <c r="NV5" i="21"/>
  <c r="NU5" i="21"/>
  <c r="NT5" i="21"/>
  <c r="NS5" i="21"/>
  <c r="NR5" i="21"/>
  <c r="NQ5" i="21"/>
  <c r="NP5" i="21"/>
  <c r="NO5" i="21"/>
  <c r="NN5" i="21"/>
  <c r="NM5" i="21"/>
  <c r="NL5" i="21"/>
  <c r="NK5" i="21"/>
  <c r="NJ5" i="21"/>
  <c r="NI5" i="21"/>
  <c r="NH5" i="21"/>
  <c r="NG5" i="21"/>
  <c r="NF5" i="21"/>
  <c r="NE5" i="21"/>
  <c r="ND5" i="21"/>
  <c r="NC5" i="21"/>
  <c r="NB5" i="21"/>
  <c r="NA5" i="21"/>
  <c r="MZ5" i="21"/>
  <c r="MY5" i="21"/>
  <c r="MX5" i="21"/>
  <c r="MW5" i="21"/>
  <c r="MV5" i="21"/>
  <c r="MU5" i="21"/>
  <c r="MT5" i="21"/>
  <c r="MS5" i="21"/>
  <c r="MR5" i="21"/>
  <c r="MQ5" i="21"/>
  <c r="MP5" i="21"/>
  <c r="MO5" i="21"/>
  <c r="MN5" i="21"/>
  <c r="MM5" i="21"/>
  <c r="ML5" i="21"/>
  <c r="MK5" i="21"/>
  <c r="MJ5" i="21"/>
  <c r="MI5" i="21"/>
  <c r="MH5" i="21"/>
  <c r="MG5" i="21"/>
  <c r="MF5" i="21"/>
  <c r="ME5" i="21"/>
  <c r="MD5" i="21"/>
  <c r="MC5" i="21"/>
  <c r="MB5" i="21"/>
  <c r="MA5" i="21"/>
  <c r="LZ5" i="21"/>
  <c r="LY5" i="21"/>
  <c r="LX5" i="21"/>
  <c r="LW5" i="21"/>
  <c r="LV5" i="21"/>
  <c r="LU5" i="21"/>
  <c r="LT5" i="21"/>
  <c r="LS5" i="21"/>
  <c r="LR5" i="21"/>
  <c r="LQ5" i="21"/>
  <c r="LP5" i="21"/>
  <c r="LO5" i="21"/>
  <c r="LN5" i="21"/>
  <c r="LM5" i="21"/>
  <c r="LL5" i="21"/>
  <c r="LK5" i="21"/>
  <c r="LJ5" i="21"/>
  <c r="LI5" i="21"/>
  <c r="LH5" i="21"/>
  <c r="LG5" i="21"/>
  <c r="LF5" i="21"/>
  <c r="LE5" i="21"/>
  <c r="LD5" i="21"/>
  <c r="LC5" i="21"/>
  <c r="LB5" i="21"/>
  <c r="LA5" i="21"/>
  <c r="KZ5" i="21"/>
  <c r="KY5" i="21"/>
  <c r="KX5" i="21"/>
  <c r="KW5" i="21"/>
  <c r="KV5" i="21"/>
  <c r="KU5" i="21"/>
  <c r="KT5" i="21"/>
  <c r="KS5" i="21"/>
  <c r="KR5" i="21"/>
  <c r="KQ5" i="21"/>
  <c r="KP5" i="21"/>
  <c r="KO5" i="21"/>
  <c r="KN5" i="21"/>
  <c r="KM5" i="21"/>
  <c r="P5" i="21"/>
  <c r="K5" i="21"/>
  <c r="L5" i="21" s="1"/>
  <c r="NV4" i="21"/>
  <c r="NU4" i="21"/>
  <c r="NT4" i="21"/>
  <c r="NS4" i="21"/>
  <c r="NR4" i="21"/>
  <c r="NQ4" i="21"/>
  <c r="NP4" i="21"/>
  <c r="NO4" i="21"/>
  <c r="NN4" i="21"/>
  <c r="NM4" i="21"/>
  <c r="NL4" i="21"/>
  <c r="NK4" i="21"/>
  <c r="NJ4" i="21"/>
  <c r="NI4" i="21"/>
  <c r="NH4" i="21"/>
  <c r="NG4" i="21"/>
  <c r="NF4" i="21"/>
  <c r="NE4" i="21"/>
  <c r="ND4" i="21"/>
  <c r="NC4" i="21"/>
  <c r="NB4" i="21"/>
  <c r="NA4" i="21"/>
  <c r="MZ4" i="21"/>
  <c r="MY4" i="21"/>
  <c r="MX4" i="21"/>
  <c r="MW4" i="21"/>
  <c r="MV4" i="21"/>
  <c r="MU4" i="21"/>
  <c r="MT4" i="21"/>
  <c r="MS4" i="21"/>
  <c r="MR4" i="21"/>
  <c r="MQ4" i="21"/>
  <c r="MP4" i="21"/>
  <c r="MO4" i="21"/>
  <c r="MN4" i="21"/>
  <c r="MM4" i="21"/>
  <c r="ML4" i="21"/>
  <c r="MK4" i="21"/>
  <c r="MJ4" i="21"/>
  <c r="MI4" i="21"/>
  <c r="MH4" i="21"/>
  <c r="MG4" i="21"/>
  <c r="MF4" i="21"/>
  <c r="ME4" i="21"/>
  <c r="MD4" i="21"/>
  <c r="MC4" i="21"/>
  <c r="MB4" i="21"/>
  <c r="MA4" i="21"/>
  <c r="LZ4" i="21"/>
  <c r="LY4" i="21"/>
  <c r="LX4" i="21"/>
  <c r="LW4" i="21"/>
  <c r="LV4" i="21"/>
  <c r="LU4" i="21"/>
  <c r="LT4" i="21"/>
  <c r="LS4" i="21"/>
  <c r="LR4" i="21"/>
  <c r="LQ4" i="21"/>
  <c r="LP4" i="21"/>
  <c r="LO4" i="21"/>
  <c r="LN4" i="21"/>
  <c r="LM4" i="21"/>
  <c r="LL4" i="21"/>
  <c r="LK4" i="21"/>
  <c r="LJ4" i="21"/>
  <c r="LI4" i="21"/>
  <c r="LH4" i="21"/>
  <c r="LG4" i="21"/>
  <c r="FD4" i="21"/>
  <c r="FC4" i="21"/>
  <c r="FB4" i="21"/>
  <c r="FA4" i="21"/>
  <c r="EZ4" i="21"/>
  <c r="EY4" i="21"/>
  <c r="EX4" i="21"/>
  <c r="EW4" i="21"/>
  <c r="EV4" i="21"/>
  <c r="EU4" i="21"/>
  <c r="ET4" i="21"/>
  <c r="ES4" i="21"/>
  <c r="ER4" i="21"/>
  <c r="EQ4" i="21"/>
  <c r="EP4" i="21"/>
  <c r="EO4" i="21"/>
  <c r="EN4" i="21"/>
  <c r="EM4" i="21"/>
  <c r="EL4" i="21"/>
  <c r="EK4" i="21"/>
  <c r="EJ4" i="21"/>
  <c r="EI4" i="21"/>
  <c r="EH4" i="21"/>
  <c r="EG4" i="21"/>
  <c r="EF4" i="21"/>
  <c r="EE4" i="21"/>
  <c r="ED4" i="21"/>
  <c r="EC4" i="21"/>
  <c r="EB4" i="21"/>
  <c r="EA4" i="21"/>
  <c r="DZ4" i="21"/>
  <c r="DY4" i="21"/>
  <c r="DX4" i="21"/>
  <c r="DW4" i="21"/>
  <c r="DV4" i="21"/>
  <c r="DU4" i="21"/>
  <c r="DT4" i="21"/>
  <c r="DS4" i="21"/>
  <c r="DR4" i="21"/>
  <c r="DQ4" i="21"/>
  <c r="DP4" i="21"/>
  <c r="DO4" i="21"/>
  <c r="DN4" i="21"/>
  <c r="DM4" i="21"/>
  <c r="DL4" i="21"/>
  <c r="DK4" i="21"/>
  <c r="DJ4" i="21"/>
  <c r="DI4" i="21"/>
  <c r="DH4" i="21"/>
  <c r="DG4" i="21"/>
  <c r="DF4" i="21"/>
  <c r="DE4" i="21"/>
  <c r="DD4" i="21"/>
  <c r="DC4" i="21"/>
  <c r="DB4" i="21"/>
  <c r="DA4" i="21"/>
  <c r="CZ4" i="21"/>
  <c r="CY4" i="21"/>
  <c r="CX4" i="21"/>
  <c r="CW4" i="21"/>
  <c r="CV4" i="21"/>
  <c r="CU4" i="21"/>
  <c r="CT4" i="21"/>
  <c r="CS4" i="21"/>
  <c r="CR4" i="21"/>
  <c r="CQ4" i="21"/>
  <c r="CP4" i="21"/>
  <c r="CO4" i="21"/>
  <c r="CN4" i="21"/>
  <c r="CM4" i="21"/>
  <c r="CL4" i="21"/>
  <c r="CK4" i="21"/>
  <c r="CJ4" i="21"/>
  <c r="CI4" i="21"/>
  <c r="CH4" i="21"/>
  <c r="CG4" i="21"/>
  <c r="CF4" i="21"/>
  <c r="CE4" i="21"/>
  <c r="CD4" i="21"/>
  <c r="CC4" i="21"/>
  <c r="CB4" i="21"/>
  <c r="CA4" i="21"/>
  <c r="BZ4" i="21"/>
  <c r="BY4" i="21"/>
  <c r="BX4" i="21"/>
  <c r="BW4" i="21"/>
  <c r="BV4" i="21"/>
  <c r="BU4" i="21"/>
  <c r="BT4" i="21"/>
  <c r="BS4" i="21"/>
  <c r="BR4" i="21"/>
  <c r="BQ4" i="21"/>
  <c r="BP4" i="21"/>
  <c r="BO4" i="21"/>
  <c r="BN4" i="21"/>
  <c r="BM4" i="21"/>
  <c r="BL4" i="21"/>
  <c r="BK4" i="21"/>
  <c r="BJ4" i="21"/>
  <c r="BI4" i="21"/>
  <c r="BH4" i="21"/>
  <c r="BG4" i="21"/>
  <c r="BF4" i="21"/>
  <c r="BE4" i="21"/>
  <c r="BD4" i="21"/>
  <c r="BC4" i="21"/>
  <c r="BB4" i="21"/>
  <c r="BA4" i="21"/>
  <c r="AZ4" i="21"/>
  <c r="AY4" i="21"/>
  <c r="AX4" i="21"/>
  <c r="AW4" i="21"/>
  <c r="AV4" i="21"/>
  <c r="AU4" i="21"/>
  <c r="AT4" i="21"/>
  <c r="AS4" i="21"/>
  <c r="AR4" i="21"/>
  <c r="AQ4" i="21"/>
  <c r="AP4" i="21"/>
  <c r="AO4" i="21"/>
  <c r="AN4" i="21"/>
  <c r="AM4" i="21"/>
  <c r="AL4" i="21"/>
  <c r="AK4" i="21"/>
  <c r="AJ4" i="21"/>
  <c r="AI4" i="21"/>
  <c r="AH4" i="21"/>
  <c r="AG4" i="21"/>
  <c r="AF4" i="21"/>
  <c r="AE4" i="21"/>
  <c r="AC4" i="21"/>
  <c r="AB4" i="21"/>
  <c r="AA4" i="21"/>
  <c r="Z4" i="21"/>
  <c r="Y4" i="21"/>
  <c r="V4" i="21"/>
  <c r="U4" i="21"/>
  <c r="T4" i="21"/>
  <c r="S4" i="21"/>
  <c r="R4" i="21"/>
  <c r="Q4" i="21"/>
  <c r="P4" i="21"/>
  <c r="O4" i="21"/>
  <c r="N4" i="21"/>
  <c r="M4" i="21"/>
  <c r="L4" i="21"/>
  <c r="K4" i="21"/>
  <c r="J4" i="21"/>
  <c r="I4" i="21"/>
  <c r="H4" i="21"/>
  <c r="G4" i="21"/>
  <c r="E20" i="21" s="1"/>
  <c r="F4" i="21"/>
  <c r="D20" i="21" s="1"/>
  <c r="E4" i="21"/>
  <c r="C20" i="21" s="1"/>
  <c r="D4" i="21"/>
  <c r="B20" i="21" s="1"/>
  <c r="VU3" i="21"/>
  <c r="VS3" i="21"/>
  <c r="VR3" i="21"/>
  <c r="SG3" i="21"/>
  <c r="SF3" i="21"/>
  <c r="SE3" i="21"/>
  <c r="SD3" i="21"/>
  <c r="SC3" i="21"/>
  <c r="SB3" i="21"/>
  <c r="SA3" i="21"/>
  <c r="RZ3" i="21"/>
  <c r="RY3" i="21"/>
  <c r="RX3" i="21"/>
  <c r="RW3" i="21"/>
  <c r="RV3" i="21"/>
  <c r="RU3" i="21"/>
  <c r="RT3" i="21"/>
  <c r="RS3" i="21"/>
  <c r="RR3" i="21"/>
  <c r="RQ3" i="21"/>
  <c r="RP3" i="21"/>
  <c r="RO3" i="21"/>
  <c r="RN3" i="21"/>
  <c r="RM3" i="21"/>
  <c r="RL3" i="21"/>
  <c r="RK3" i="21"/>
  <c r="RJ3" i="21"/>
  <c r="RI3" i="21"/>
  <c r="RH3" i="21"/>
  <c r="RG3" i="21"/>
  <c r="RF3" i="21"/>
  <c r="RE3" i="21"/>
  <c r="RD3" i="21"/>
  <c r="RC3" i="21"/>
  <c r="RB3" i="21"/>
  <c r="RA3" i="21"/>
  <c r="QZ3" i="21"/>
  <c r="QY3" i="21"/>
  <c r="QX3" i="21"/>
  <c r="QW3" i="21"/>
  <c r="QV3" i="21"/>
  <c r="QU3" i="21"/>
  <c r="QT3" i="21"/>
  <c r="QS3" i="21"/>
  <c r="QR3" i="21"/>
  <c r="QQ3" i="21"/>
  <c r="QP3" i="21"/>
  <c r="QO3" i="21"/>
  <c r="QN3" i="21"/>
  <c r="QM3" i="21"/>
  <c r="QL3" i="21"/>
  <c r="QK3" i="21"/>
  <c r="QJ3" i="21"/>
  <c r="QI3" i="21"/>
  <c r="QH3" i="21"/>
  <c r="QG3" i="21"/>
  <c r="QF3" i="21"/>
  <c r="QE3" i="21"/>
  <c r="QD3" i="21"/>
  <c r="QC3" i="21"/>
  <c r="QB3" i="21"/>
  <c r="QA3" i="21"/>
  <c r="PZ3" i="21"/>
  <c r="PY3" i="21"/>
  <c r="PX3" i="21"/>
  <c r="PW3" i="21"/>
  <c r="PV3" i="21"/>
  <c r="PU3" i="21"/>
  <c r="PT3" i="21"/>
  <c r="PS3" i="21"/>
  <c r="PR3" i="21"/>
  <c r="PQ3" i="21"/>
  <c r="PP3" i="21"/>
  <c r="PO3" i="21"/>
  <c r="PN3" i="21"/>
  <c r="PM3" i="21"/>
  <c r="PL3" i="21"/>
  <c r="PK3" i="21"/>
  <c r="PJ3" i="21"/>
  <c r="PI3" i="21"/>
  <c r="PH3" i="21"/>
  <c r="PG3" i="21"/>
  <c r="PF3" i="21"/>
  <c r="PE3" i="21"/>
  <c r="PD3" i="21"/>
  <c r="PC3" i="21"/>
  <c r="PB3" i="21"/>
  <c r="PA3" i="21"/>
  <c r="OZ3" i="21"/>
  <c r="OY3" i="21"/>
  <c r="OX3" i="21"/>
  <c r="OW3" i="21"/>
  <c r="OV3" i="21"/>
  <c r="OU3" i="21"/>
  <c r="OT3" i="21"/>
  <c r="OS3" i="21"/>
  <c r="OR3" i="21"/>
  <c r="OQ3" i="21"/>
  <c r="OP3" i="21"/>
  <c r="OO3" i="21"/>
  <c r="ON3" i="21"/>
  <c r="OM3" i="21"/>
  <c r="OL3" i="21"/>
  <c r="OK3" i="21"/>
  <c r="OJ3" i="21"/>
  <c r="OI3" i="21"/>
  <c r="OH3" i="21"/>
  <c r="OG3" i="21"/>
  <c r="OF3" i="21"/>
  <c r="OE3" i="21"/>
  <c r="OD3" i="21"/>
  <c r="OC3" i="21"/>
  <c r="OB3" i="21"/>
  <c r="OA3" i="21"/>
  <c r="NZ3" i="21"/>
  <c r="NY3" i="21"/>
  <c r="NX3" i="21"/>
  <c r="NW3" i="21"/>
  <c r="NV3" i="21"/>
  <c r="NU3" i="21"/>
  <c r="NT3" i="21"/>
  <c r="NS3" i="21"/>
  <c r="NR3" i="21"/>
  <c r="NQ3" i="21"/>
  <c r="NP3" i="21"/>
  <c r="NO3" i="21"/>
  <c r="NN3" i="21"/>
  <c r="NM3" i="21"/>
  <c r="NL3" i="21"/>
  <c r="NK3" i="21"/>
  <c r="NJ3" i="21"/>
  <c r="NI3" i="21"/>
  <c r="NH3" i="21"/>
  <c r="NG3" i="21"/>
  <c r="NF3" i="21"/>
  <c r="NE3" i="21"/>
  <c r="ND3" i="21"/>
  <c r="NC3" i="21"/>
  <c r="NB3" i="21"/>
  <c r="NA3" i="21"/>
  <c r="MZ3" i="21"/>
  <c r="MY3" i="21"/>
  <c r="MX3" i="21"/>
  <c r="MW3" i="21"/>
  <c r="MV3" i="21"/>
  <c r="MU3" i="21"/>
  <c r="MT3" i="21"/>
  <c r="MS3" i="21"/>
  <c r="MR3" i="21"/>
  <c r="MQ3" i="21"/>
  <c r="MP3" i="21"/>
  <c r="MO3" i="21"/>
  <c r="MN3" i="21"/>
  <c r="MM3" i="21"/>
  <c r="ML3" i="21"/>
  <c r="MC3" i="21"/>
  <c r="MB3" i="21"/>
  <c r="MA3" i="21"/>
  <c r="LZ3" i="21"/>
  <c r="LY3" i="21"/>
  <c r="LX3" i="21"/>
  <c r="LW3" i="21"/>
  <c r="LV3" i="21"/>
  <c r="LU3" i="21"/>
  <c r="LT3" i="21"/>
  <c r="LS3" i="21"/>
  <c r="LR3" i="21"/>
  <c r="LQ3" i="21"/>
  <c r="LP3" i="21"/>
  <c r="LO3" i="21"/>
  <c r="LN3" i="21"/>
  <c r="LM3" i="21"/>
  <c r="LL3" i="21"/>
  <c r="LK3" i="21"/>
  <c r="LJ3" i="21"/>
  <c r="LI3" i="21"/>
  <c r="LH3" i="21"/>
  <c r="LG3" i="21"/>
  <c r="LF3" i="21"/>
  <c r="LE3" i="21"/>
  <c r="LD3" i="21"/>
  <c r="KJ3" i="21"/>
  <c r="KI3" i="21"/>
  <c r="KH3" i="21"/>
  <c r="KG3" i="21"/>
  <c r="KF3" i="21"/>
  <c r="KE3" i="21"/>
  <c r="KD3" i="21"/>
  <c r="KC3" i="21"/>
  <c r="JW3" i="21"/>
  <c r="JV3" i="21"/>
  <c r="JU3" i="21"/>
  <c r="JT3" i="21"/>
  <c r="JS3" i="21"/>
  <c r="JR3" i="21"/>
  <c r="JQ3" i="21"/>
  <c r="JP3" i="21"/>
  <c r="JO3" i="21"/>
  <c r="JN3" i="21"/>
  <c r="JM3" i="21"/>
  <c r="JL3" i="21"/>
  <c r="JK3" i="21"/>
  <c r="JJ3" i="21"/>
  <c r="JI3" i="21"/>
  <c r="JH3" i="21"/>
  <c r="JG3" i="21"/>
  <c r="JF3" i="21"/>
  <c r="JE3" i="21"/>
  <c r="JD3" i="21"/>
  <c r="JC3" i="21"/>
  <c r="JB3" i="21"/>
  <c r="JA3" i="21"/>
  <c r="IZ3" i="21"/>
  <c r="IY3" i="21"/>
  <c r="IX3" i="21"/>
  <c r="IW3" i="21"/>
  <c r="IV3" i="21"/>
  <c r="IU3" i="21"/>
  <c r="IT3" i="21"/>
  <c r="IS3" i="21"/>
  <c r="IR3" i="21"/>
  <c r="IQ3" i="21"/>
  <c r="IP3" i="21"/>
  <c r="IO3" i="21"/>
  <c r="IN3" i="21"/>
  <c r="IM3" i="21"/>
  <c r="IL3" i="21"/>
  <c r="IK3" i="21"/>
  <c r="IJ3" i="21"/>
  <c r="II3" i="21"/>
  <c r="IH3" i="21"/>
  <c r="IG3" i="21"/>
  <c r="IF3" i="21"/>
  <c r="IE3" i="21"/>
  <c r="ID3" i="21"/>
  <c r="IC3" i="21"/>
  <c r="IB3" i="21"/>
  <c r="IA3" i="21"/>
  <c r="HZ3" i="21"/>
  <c r="HY3" i="21"/>
  <c r="HX3" i="21"/>
  <c r="HW3" i="21"/>
  <c r="HV3" i="21"/>
  <c r="HU3" i="21"/>
  <c r="HT3" i="21"/>
  <c r="HS3" i="21"/>
  <c r="HR3" i="21"/>
  <c r="HQ3" i="21"/>
  <c r="HP3" i="21"/>
  <c r="HO3" i="21"/>
  <c r="HN3" i="21"/>
  <c r="HM3" i="21"/>
  <c r="HL3" i="21"/>
  <c r="HK3" i="21"/>
  <c r="HJ3" i="21"/>
  <c r="HI3" i="21"/>
  <c r="HH3" i="21"/>
  <c r="HG3" i="21"/>
  <c r="HF3" i="21"/>
  <c r="HE3" i="21"/>
  <c r="HD3" i="21"/>
  <c r="HC3" i="21"/>
  <c r="HB3" i="21"/>
  <c r="HA3" i="21"/>
  <c r="GZ3" i="21"/>
  <c r="GY3" i="21"/>
  <c r="GX3" i="21"/>
  <c r="GW3" i="21"/>
  <c r="GV3" i="21"/>
  <c r="GU3" i="21"/>
  <c r="GT3" i="21"/>
  <c r="GS3" i="21"/>
  <c r="GR3" i="21"/>
  <c r="GQ3" i="21"/>
  <c r="GP3" i="21"/>
  <c r="GO3" i="21"/>
  <c r="GN3" i="21"/>
  <c r="GM3" i="21"/>
  <c r="GL3" i="21"/>
  <c r="GK3" i="21"/>
  <c r="GJ3" i="21"/>
  <c r="GI3" i="21"/>
  <c r="GH3" i="21"/>
  <c r="GG3" i="21"/>
  <c r="GF3" i="21"/>
  <c r="GE3" i="21"/>
  <c r="GD3" i="21"/>
  <c r="GC3" i="21"/>
  <c r="GB3" i="21"/>
  <c r="GA3" i="21"/>
  <c r="FZ3" i="21"/>
  <c r="FY3" i="21"/>
  <c r="FX3" i="21"/>
  <c r="FW3" i="21"/>
  <c r="FV3" i="21"/>
  <c r="FU3" i="21"/>
  <c r="FT3" i="21"/>
  <c r="FS3" i="21"/>
  <c r="FR3" i="21"/>
  <c r="FQ3" i="21"/>
  <c r="FP3" i="21"/>
  <c r="FO3" i="21"/>
  <c r="FN3" i="21"/>
  <c r="FM3" i="21"/>
  <c r="FL3" i="21"/>
  <c r="FK3" i="21"/>
  <c r="FJ3" i="21"/>
  <c r="FI3" i="21"/>
  <c r="FH3" i="21"/>
  <c r="FG3" i="21"/>
  <c r="FF3" i="21"/>
  <c r="FE3" i="21"/>
  <c r="FD3" i="21"/>
  <c r="FC3" i="21"/>
  <c r="FB3" i="21"/>
  <c r="FA3" i="21"/>
  <c r="EZ3" i="21"/>
  <c r="EY3" i="21"/>
  <c r="EX3" i="21"/>
  <c r="EW3" i="21"/>
  <c r="EV3" i="21"/>
  <c r="EU3" i="21"/>
  <c r="ET3" i="21"/>
  <c r="ES3" i="21"/>
  <c r="ER3" i="21"/>
  <c r="EQ3" i="21"/>
  <c r="EP3" i="21"/>
  <c r="EO3" i="21"/>
  <c r="EN3" i="21"/>
  <c r="EM3" i="21"/>
  <c r="EL3" i="21"/>
  <c r="EK3" i="21"/>
  <c r="EJ3" i="21"/>
  <c r="EI3" i="21"/>
  <c r="EH3" i="21"/>
  <c r="EG3" i="21"/>
  <c r="EF3" i="21"/>
  <c r="EE3" i="21"/>
  <c r="ED3" i="21"/>
  <c r="EC3" i="21"/>
  <c r="EB3" i="21"/>
  <c r="EA3" i="21"/>
  <c r="DZ3" i="21"/>
  <c r="DY3" i="21"/>
  <c r="DX3" i="21"/>
  <c r="DW3" i="21"/>
  <c r="DV3" i="21"/>
  <c r="DU3" i="21"/>
  <c r="DT3" i="21"/>
  <c r="DS3" i="21"/>
  <c r="DR3" i="21"/>
  <c r="DQ3" i="21"/>
  <c r="DP3" i="21"/>
  <c r="DO3" i="21"/>
  <c r="DN3" i="21"/>
  <c r="DM3" i="21"/>
  <c r="DL3" i="21"/>
  <c r="DK3" i="21"/>
  <c r="DJ3" i="21"/>
  <c r="DI3" i="21"/>
  <c r="DH3" i="21"/>
  <c r="DG3" i="21"/>
  <c r="DF3" i="21"/>
  <c r="DE3" i="21"/>
  <c r="DD3" i="21"/>
  <c r="DC3" i="21"/>
  <c r="DB3" i="21"/>
  <c r="DA3" i="21"/>
  <c r="CZ3" i="21"/>
  <c r="CY3" i="21"/>
  <c r="CX3" i="21"/>
  <c r="CW3" i="21"/>
  <c r="CV3" i="21"/>
  <c r="CU3" i="21"/>
  <c r="CT3" i="21"/>
  <c r="CS3" i="21"/>
  <c r="CR3" i="21"/>
  <c r="CQ3" i="21"/>
  <c r="CP3" i="21"/>
  <c r="CO3" i="21"/>
  <c r="CN3" i="21"/>
  <c r="CM3" i="21"/>
  <c r="CL3" i="21"/>
  <c r="CK3" i="21"/>
  <c r="CJ3" i="21"/>
  <c r="CI3" i="21"/>
  <c r="CH3" i="21"/>
  <c r="CG3" i="21"/>
  <c r="CF3" i="21"/>
  <c r="CE3" i="21"/>
  <c r="CD3" i="21"/>
  <c r="CC3" i="21"/>
  <c r="CB3" i="21"/>
  <c r="CA3" i="21"/>
  <c r="BY3" i="21"/>
  <c r="BX3" i="21"/>
  <c r="BW3" i="21"/>
  <c r="BV3" i="21"/>
  <c r="BU3" i="21"/>
  <c r="BT3" i="21"/>
  <c r="BS3" i="21"/>
  <c r="BR3" i="21"/>
  <c r="BQ3" i="21"/>
  <c r="BP3" i="21"/>
  <c r="BO3" i="21"/>
  <c r="BN3" i="21"/>
  <c r="BM3" i="21"/>
  <c r="BL3" i="21"/>
  <c r="BK3" i="21"/>
  <c r="BJ3" i="21"/>
  <c r="BI3" i="21"/>
  <c r="BH3" i="21"/>
  <c r="BG3" i="21"/>
  <c r="BF3" i="21"/>
  <c r="BE3" i="21"/>
  <c r="BD3" i="21"/>
  <c r="BC3" i="21"/>
  <c r="BB3" i="21"/>
  <c r="BA3" i="21"/>
  <c r="AZ3" i="21"/>
  <c r="AY3" i="21"/>
  <c r="AX3" i="21"/>
  <c r="AW3" i="21"/>
  <c r="AV3" i="21"/>
  <c r="AU3" i="21"/>
  <c r="AT3" i="21"/>
  <c r="AS3" i="21"/>
  <c r="SG2" i="21"/>
  <c r="SF2" i="21"/>
  <c r="SE2" i="21"/>
  <c r="SD2" i="21"/>
  <c r="SC2" i="21"/>
  <c r="SB2" i="21"/>
  <c r="SA2" i="21"/>
  <c r="RZ2" i="21"/>
  <c r="RY2" i="21"/>
  <c r="RX2" i="21"/>
  <c r="RW2" i="21"/>
  <c r="RV2" i="21"/>
  <c r="RU2" i="21"/>
  <c r="RT2" i="21"/>
  <c r="RS2" i="21"/>
  <c r="RR2" i="21"/>
  <c r="RQ2" i="21"/>
  <c r="RP2" i="21"/>
  <c r="RO2" i="21"/>
  <c r="RN2" i="21"/>
  <c r="RM2" i="21"/>
  <c r="RL2" i="21"/>
  <c r="RK2" i="21"/>
  <c r="RJ2" i="21"/>
  <c r="RI2" i="21"/>
  <c r="RH2" i="21"/>
  <c r="RG2" i="21"/>
  <c r="RF2" i="21"/>
  <c r="RE2" i="21"/>
  <c r="RD2" i="21"/>
  <c r="RC2" i="21"/>
  <c r="RB2" i="21"/>
  <c r="RA2" i="21"/>
  <c r="QZ2" i="21"/>
  <c r="QY2" i="21"/>
  <c r="QX2" i="21"/>
  <c r="QW2" i="21"/>
  <c r="QV2" i="21"/>
  <c r="QU2" i="21"/>
  <c r="QT2" i="21"/>
  <c r="QS2" i="21"/>
  <c r="QR2" i="21"/>
  <c r="QQ2" i="21"/>
  <c r="QP2" i="21"/>
  <c r="QO2" i="21"/>
  <c r="QN2" i="21"/>
  <c r="QM2" i="21"/>
  <c r="QL2" i="21"/>
  <c r="QK2" i="21"/>
  <c r="QJ2" i="21"/>
  <c r="QI2" i="21"/>
  <c r="QH2" i="21"/>
  <c r="QG2" i="21"/>
  <c r="QF2" i="21"/>
  <c r="QE2" i="21"/>
  <c r="QD2" i="21"/>
  <c r="QC2" i="21"/>
  <c r="QB2" i="21"/>
  <c r="QA2" i="21"/>
  <c r="PZ2" i="21"/>
  <c r="PY2" i="21"/>
  <c r="PX2" i="21"/>
  <c r="PW2" i="21"/>
  <c r="PV2" i="21"/>
  <c r="PU2" i="21"/>
  <c r="PT2" i="21"/>
  <c r="PS2" i="21"/>
  <c r="PR2" i="21"/>
  <c r="PQ2" i="21"/>
  <c r="PP2" i="21"/>
  <c r="PO2" i="21"/>
  <c r="PN2" i="21"/>
  <c r="PM2" i="21"/>
  <c r="PL2" i="21"/>
  <c r="PK2" i="21"/>
  <c r="PJ2" i="21"/>
  <c r="PI2" i="21"/>
  <c r="PH2" i="21"/>
  <c r="PG2" i="21"/>
  <c r="PF2" i="21"/>
  <c r="PE2" i="21"/>
  <c r="PD2" i="21"/>
  <c r="PC2" i="21"/>
  <c r="PB2" i="21"/>
  <c r="PA2" i="21"/>
  <c r="OZ2" i="21"/>
  <c r="OY2" i="21"/>
  <c r="OX2" i="21"/>
  <c r="OW2" i="21"/>
  <c r="OV2" i="21"/>
  <c r="OU2" i="21"/>
  <c r="OT2" i="21"/>
  <c r="OS2" i="21"/>
  <c r="OR2" i="21"/>
  <c r="OQ2" i="21"/>
  <c r="OP2" i="21"/>
  <c r="OO2" i="21"/>
  <c r="ON2" i="21"/>
  <c r="OM2" i="21"/>
  <c r="OL2" i="21"/>
  <c r="OK2" i="21"/>
  <c r="OJ2" i="21"/>
  <c r="OI2" i="21"/>
  <c r="OH2" i="21"/>
  <c r="OG2" i="21"/>
  <c r="OF2" i="21"/>
  <c r="OE2" i="21"/>
  <c r="OD2" i="21"/>
  <c r="OC2" i="21"/>
  <c r="OB2" i="21"/>
  <c r="OA2" i="21"/>
  <c r="NZ2" i="21"/>
  <c r="NY2" i="21"/>
  <c r="NX2" i="21"/>
  <c r="NW2" i="21"/>
  <c r="NV2" i="21"/>
  <c r="NU2" i="21"/>
  <c r="NT2" i="21"/>
  <c r="NS2" i="21"/>
  <c r="NR2" i="21"/>
  <c r="NQ2" i="21"/>
  <c r="NP2" i="21"/>
  <c r="NO2" i="21"/>
  <c r="NN2" i="21"/>
  <c r="NM2" i="21"/>
  <c r="NL2" i="21"/>
  <c r="NK2" i="21"/>
  <c r="NJ2" i="21"/>
  <c r="NI2" i="21"/>
  <c r="NH2" i="21"/>
  <c r="NG2" i="21"/>
  <c r="NF2" i="21"/>
  <c r="NE2" i="21"/>
  <c r="ND2" i="21"/>
  <c r="NC2" i="21"/>
  <c r="NB2" i="21"/>
  <c r="NA2" i="21"/>
  <c r="MZ2" i="21"/>
  <c r="MY2" i="21"/>
  <c r="MX2" i="21"/>
  <c r="MW2" i="21"/>
  <c r="MV2" i="21"/>
  <c r="MU2" i="21"/>
  <c r="MT2" i="21"/>
  <c r="MS2" i="21"/>
  <c r="MR2" i="21"/>
  <c r="MQ2" i="21"/>
  <c r="MP2" i="21"/>
  <c r="MO2" i="21"/>
  <c r="MN2" i="21"/>
  <c r="MM2" i="21"/>
  <c r="ML2" i="21"/>
  <c r="MK2" i="21"/>
  <c r="MJ2" i="21"/>
  <c r="MI2" i="21"/>
  <c r="MH2" i="21"/>
  <c r="MG2" i="21"/>
  <c r="MF2" i="21"/>
  <c r="ME2" i="21"/>
  <c r="MD2" i="21"/>
  <c r="MC2" i="21"/>
  <c r="MB2" i="21"/>
  <c r="MA2" i="21"/>
  <c r="LZ2" i="21"/>
  <c r="LY2" i="21"/>
  <c r="LX2" i="21"/>
  <c r="LW2" i="21"/>
  <c r="LV2" i="21"/>
  <c r="LU2" i="21"/>
  <c r="LT2" i="21"/>
  <c r="LS2" i="21"/>
  <c r="LR2" i="21"/>
  <c r="LQ2" i="21"/>
  <c r="LP2" i="21"/>
  <c r="LO2" i="21"/>
  <c r="LN2" i="21"/>
  <c r="LM2" i="21"/>
  <c r="LL2" i="21"/>
  <c r="LK2" i="21"/>
  <c r="LJ2" i="21"/>
  <c r="LI2" i="21"/>
  <c r="LH2" i="21"/>
  <c r="LG2" i="21"/>
  <c r="LF2" i="21"/>
  <c r="LE2" i="21"/>
  <c r="LD2" i="21"/>
  <c r="LC2" i="21"/>
  <c r="LB2" i="21"/>
  <c r="LA2" i="21"/>
  <c r="KZ2" i="21"/>
  <c r="KY2" i="21"/>
  <c r="KX2" i="21"/>
  <c r="KW2" i="21"/>
  <c r="KV2" i="21"/>
  <c r="Q2" i="21"/>
  <c r="F349" i="16"/>
  <c r="D349" i="16"/>
  <c r="C349" i="16"/>
  <c r="F348" i="16"/>
  <c r="D348" i="16"/>
  <c r="C348" i="16"/>
  <c r="F347" i="16"/>
  <c r="D347" i="16"/>
  <c r="C347" i="16"/>
  <c r="F346" i="16"/>
  <c r="D346" i="16"/>
  <c r="C346" i="16"/>
  <c r="F345" i="16"/>
  <c r="D345" i="16"/>
  <c r="C345" i="16"/>
  <c r="F344" i="16"/>
  <c r="D344" i="16"/>
  <c r="C344" i="16"/>
  <c r="F343" i="16"/>
  <c r="D343" i="16"/>
  <c r="C343" i="16"/>
  <c r="F342" i="16"/>
  <c r="D342" i="16"/>
  <c r="C342" i="16"/>
  <c r="F341" i="16"/>
  <c r="D341" i="16"/>
  <c r="C341" i="16"/>
  <c r="F340" i="16"/>
  <c r="D340" i="16"/>
  <c r="C340" i="16"/>
  <c r="F339" i="16"/>
  <c r="D339" i="16"/>
  <c r="C339" i="16"/>
  <c r="F338" i="16"/>
  <c r="D338" i="16"/>
  <c r="C338" i="16"/>
  <c r="F337" i="16"/>
  <c r="D337" i="16"/>
  <c r="C337" i="16"/>
  <c r="F336" i="16"/>
  <c r="D336" i="16"/>
  <c r="C336" i="16"/>
  <c r="F335" i="16"/>
  <c r="D335" i="16"/>
  <c r="C335" i="16"/>
  <c r="F334" i="16"/>
  <c r="D334" i="16"/>
  <c r="C334" i="16"/>
  <c r="F333" i="16"/>
  <c r="D333" i="16"/>
  <c r="C333" i="16"/>
  <c r="F332" i="16"/>
  <c r="D332" i="16"/>
  <c r="C332" i="16"/>
  <c r="F331" i="16"/>
  <c r="D331" i="16"/>
  <c r="C331" i="16"/>
  <c r="F330" i="16"/>
  <c r="D330" i="16"/>
  <c r="C330" i="16"/>
  <c r="F329" i="16"/>
  <c r="D329" i="16"/>
  <c r="C329" i="16"/>
  <c r="F328" i="16"/>
  <c r="D328" i="16"/>
  <c r="C328" i="16"/>
  <c r="F327" i="16"/>
  <c r="D327" i="16"/>
  <c r="C327" i="16"/>
  <c r="F326" i="16"/>
  <c r="D326" i="16"/>
  <c r="C326" i="16"/>
  <c r="F325" i="16"/>
  <c r="D325" i="16"/>
  <c r="C325" i="16"/>
  <c r="F324" i="16"/>
  <c r="D324" i="16"/>
  <c r="C324" i="16"/>
  <c r="F323" i="16"/>
  <c r="D323" i="16"/>
  <c r="C323" i="16"/>
  <c r="F322" i="16"/>
  <c r="D322" i="16"/>
  <c r="C322" i="16"/>
  <c r="F321" i="16"/>
  <c r="D321" i="16"/>
  <c r="C321" i="16"/>
  <c r="F320" i="16"/>
  <c r="D320" i="16"/>
  <c r="C320" i="16"/>
  <c r="F319" i="16"/>
  <c r="D319" i="16"/>
  <c r="C319" i="16"/>
  <c r="F318" i="16"/>
  <c r="D318" i="16"/>
  <c r="C318" i="16"/>
  <c r="F317" i="16"/>
  <c r="D317" i="16"/>
  <c r="C317" i="16"/>
  <c r="F316" i="16"/>
  <c r="D316" i="16"/>
  <c r="C316" i="16"/>
  <c r="F315" i="16"/>
  <c r="D315" i="16"/>
  <c r="C315" i="16"/>
  <c r="F314" i="16"/>
  <c r="D314" i="16"/>
  <c r="C314" i="16"/>
  <c r="F313" i="16"/>
  <c r="D313" i="16"/>
  <c r="C313" i="16"/>
  <c r="F312" i="16"/>
  <c r="D312" i="16"/>
  <c r="C312" i="16"/>
  <c r="F311" i="16"/>
  <c r="D311" i="16"/>
  <c r="C311" i="16"/>
  <c r="F310" i="16"/>
  <c r="D310" i="16"/>
  <c r="C310" i="16"/>
  <c r="F309" i="16"/>
  <c r="D309" i="16"/>
  <c r="C309" i="16"/>
  <c r="F308" i="16"/>
  <c r="D308" i="16"/>
  <c r="C308" i="16"/>
  <c r="F307" i="16"/>
  <c r="D307" i="16"/>
  <c r="C307" i="16"/>
  <c r="F306" i="16"/>
  <c r="D306" i="16"/>
  <c r="C306" i="16"/>
  <c r="F305" i="16"/>
  <c r="D305" i="16"/>
  <c r="C305" i="16"/>
  <c r="F304" i="16"/>
  <c r="D304" i="16"/>
  <c r="C304" i="16"/>
  <c r="F303" i="16"/>
  <c r="D303" i="16"/>
  <c r="C303" i="16"/>
  <c r="F302" i="16"/>
  <c r="D302" i="16"/>
  <c r="C302" i="16"/>
  <c r="F301" i="16"/>
  <c r="D301" i="16"/>
  <c r="C301" i="16"/>
  <c r="F300" i="16"/>
  <c r="D300" i="16"/>
  <c r="C300" i="16"/>
  <c r="F299" i="16"/>
  <c r="D299" i="16"/>
  <c r="C299" i="16"/>
  <c r="F298" i="16"/>
  <c r="D298" i="16"/>
  <c r="C298" i="16"/>
  <c r="F297" i="16"/>
  <c r="D297" i="16"/>
  <c r="C297" i="16"/>
  <c r="F296" i="16"/>
  <c r="D296" i="16"/>
  <c r="C296" i="16"/>
  <c r="F295" i="16"/>
  <c r="D295" i="16"/>
  <c r="C295" i="16"/>
  <c r="F294" i="16"/>
  <c r="D294" i="16"/>
  <c r="C294" i="16"/>
  <c r="F293" i="16"/>
  <c r="D293" i="16"/>
  <c r="C293" i="16"/>
  <c r="F292" i="16"/>
  <c r="D292" i="16"/>
  <c r="C292" i="16"/>
  <c r="F291" i="16"/>
  <c r="D291" i="16"/>
  <c r="C291" i="16"/>
  <c r="F290" i="16"/>
  <c r="D290" i="16"/>
  <c r="C290" i="16"/>
  <c r="F289" i="16"/>
  <c r="D289" i="16"/>
  <c r="C289" i="16"/>
  <c r="F288" i="16"/>
  <c r="D288" i="16"/>
  <c r="C288" i="16"/>
  <c r="F287" i="16"/>
  <c r="D287" i="16"/>
  <c r="C287" i="16"/>
  <c r="F286" i="16"/>
  <c r="D286" i="16"/>
  <c r="C286" i="16"/>
  <c r="F285" i="16"/>
  <c r="D285" i="16"/>
  <c r="C285" i="16"/>
  <c r="F284" i="16"/>
  <c r="D284" i="16"/>
  <c r="C284" i="16"/>
  <c r="F283" i="16"/>
  <c r="D283" i="16"/>
  <c r="C283" i="16"/>
  <c r="F282" i="16"/>
  <c r="D282" i="16"/>
  <c r="C282" i="16"/>
  <c r="F281" i="16"/>
  <c r="D281" i="16"/>
  <c r="C281" i="16"/>
  <c r="F280" i="16"/>
  <c r="D280" i="16"/>
  <c r="C280" i="16"/>
  <c r="F279" i="16"/>
  <c r="D279" i="16"/>
  <c r="C279" i="16"/>
  <c r="F278" i="16"/>
  <c r="D278" i="16"/>
  <c r="C278" i="16"/>
  <c r="F277" i="16"/>
  <c r="D277" i="16"/>
  <c r="C277" i="16"/>
  <c r="F276" i="16"/>
  <c r="D276" i="16"/>
  <c r="C276" i="16"/>
  <c r="F275" i="16"/>
  <c r="D275" i="16"/>
  <c r="C275" i="16"/>
  <c r="F274" i="16"/>
  <c r="D274" i="16"/>
  <c r="C274" i="16"/>
  <c r="F273" i="16"/>
  <c r="D273" i="16"/>
  <c r="C273" i="16"/>
  <c r="F272" i="16"/>
  <c r="D272" i="16"/>
  <c r="C272" i="16"/>
  <c r="F271" i="16"/>
  <c r="D271" i="16"/>
  <c r="C271" i="16"/>
  <c r="F270" i="16"/>
  <c r="D270" i="16"/>
  <c r="C270" i="16"/>
  <c r="F269" i="16"/>
  <c r="D269" i="16"/>
  <c r="C269" i="16"/>
  <c r="F268" i="16"/>
  <c r="D268" i="16"/>
  <c r="C268" i="16"/>
  <c r="F267" i="16"/>
  <c r="D267" i="16"/>
  <c r="C267" i="16"/>
  <c r="F266" i="16"/>
  <c r="D266" i="16"/>
  <c r="C266" i="16"/>
  <c r="F265" i="16"/>
  <c r="D265" i="16"/>
  <c r="C265" i="16"/>
  <c r="F264" i="16"/>
  <c r="D264" i="16"/>
  <c r="C264" i="16"/>
  <c r="F263" i="16"/>
  <c r="D263" i="16"/>
  <c r="C263" i="16"/>
  <c r="F261" i="16"/>
  <c r="D261" i="16"/>
  <c r="C261" i="16"/>
  <c r="F260" i="16"/>
  <c r="D260" i="16"/>
  <c r="C260" i="16"/>
  <c r="F259" i="16"/>
  <c r="D259" i="16"/>
  <c r="C259" i="16"/>
  <c r="F258" i="16"/>
  <c r="D258" i="16"/>
  <c r="C258" i="16"/>
  <c r="F257" i="16"/>
  <c r="D257" i="16"/>
  <c r="C257" i="16"/>
  <c r="F256" i="16"/>
  <c r="D256" i="16"/>
  <c r="C256" i="16"/>
  <c r="F255" i="16"/>
  <c r="D255" i="16"/>
  <c r="C255" i="16"/>
  <c r="F254" i="16"/>
  <c r="D254" i="16"/>
  <c r="C254" i="16"/>
  <c r="F253" i="16"/>
  <c r="D253" i="16"/>
  <c r="C253" i="16"/>
  <c r="F252" i="16"/>
  <c r="D252" i="16"/>
  <c r="C252" i="16"/>
  <c r="F251" i="16"/>
  <c r="D251" i="16"/>
  <c r="C251" i="16"/>
  <c r="F250" i="16"/>
  <c r="D250" i="16"/>
  <c r="C250" i="16"/>
  <c r="F249" i="16"/>
  <c r="D249" i="16"/>
  <c r="C249" i="16"/>
  <c r="F248" i="16"/>
  <c r="D248" i="16"/>
  <c r="C248" i="16"/>
  <c r="F247" i="16"/>
  <c r="D247" i="16"/>
  <c r="C247" i="16"/>
  <c r="F246" i="16"/>
  <c r="D246" i="16"/>
  <c r="C246" i="16"/>
  <c r="F245" i="16"/>
  <c r="D245" i="16"/>
  <c r="C245" i="16"/>
  <c r="F244" i="16"/>
  <c r="D244" i="16"/>
  <c r="C244" i="16"/>
  <c r="F243" i="16"/>
  <c r="D243" i="16"/>
  <c r="C243" i="16"/>
  <c r="F242" i="16"/>
  <c r="D242" i="16"/>
  <c r="C242" i="16"/>
  <c r="F241" i="16"/>
  <c r="D241" i="16"/>
  <c r="C241" i="16"/>
  <c r="F240" i="16"/>
  <c r="D240" i="16"/>
  <c r="C240" i="16"/>
  <c r="F239" i="16"/>
  <c r="D239" i="16"/>
  <c r="C239" i="16"/>
  <c r="F238" i="16"/>
  <c r="D238" i="16"/>
  <c r="C238" i="16"/>
  <c r="F237" i="16"/>
  <c r="D237" i="16"/>
  <c r="C237" i="16"/>
  <c r="F236" i="16"/>
  <c r="D236" i="16"/>
  <c r="C236" i="16"/>
  <c r="F235" i="16"/>
  <c r="D235" i="16"/>
  <c r="C235" i="16"/>
  <c r="F234" i="16"/>
  <c r="E234" i="16"/>
  <c r="D234" i="16"/>
  <c r="C234" i="16"/>
  <c r="F233" i="16"/>
  <c r="E233" i="16"/>
  <c r="D233" i="16"/>
  <c r="C233" i="16"/>
  <c r="F232" i="16"/>
  <c r="E232" i="16"/>
  <c r="D232" i="16"/>
  <c r="C232" i="16"/>
  <c r="F231" i="16"/>
  <c r="E231" i="16"/>
  <c r="D231" i="16"/>
  <c r="C231" i="16"/>
  <c r="F230" i="16"/>
  <c r="E230" i="16"/>
  <c r="D230" i="16"/>
  <c r="C230" i="16"/>
  <c r="F229" i="16"/>
  <c r="E229" i="16"/>
  <c r="D229" i="16"/>
  <c r="C229" i="16"/>
  <c r="F228" i="16"/>
  <c r="E228" i="16"/>
  <c r="D228" i="16"/>
  <c r="C228" i="16"/>
  <c r="F227" i="16"/>
  <c r="E227" i="16"/>
  <c r="D227" i="16"/>
  <c r="C227" i="16"/>
  <c r="F226" i="16"/>
  <c r="E226" i="16"/>
  <c r="D226" i="16"/>
  <c r="C226" i="16"/>
  <c r="F225" i="16"/>
  <c r="E225" i="16"/>
  <c r="D225" i="16"/>
  <c r="C225" i="16"/>
  <c r="F224" i="16"/>
  <c r="E224" i="16"/>
  <c r="D224" i="16"/>
  <c r="C224" i="16"/>
  <c r="F223" i="16"/>
  <c r="E223" i="16"/>
  <c r="D223" i="16"/>
  <c r="C223" i="16"/>
  <c r="F222" i="16"/>
  <c r="E222" i="16"/>
  <c r="D222" i="16"/>
  <c r="C222" i="16"/>
  <c r="F221" i="16"/>
  <c r="E221" i="16"/>
  <c r="D221" i="16"/>
  <c r="C221" i="16"/>
  <c r="F220" i="16"/>
  <c r="E220" i="16"/>
  <c r="D220" i="16"/>
  <c r="C220" i="16"/>
  <c r="F219" i="16"/>
  <c r="E219" i="16"/>
  <c r="D219" i="16"/>
  <c r="C219" i="16"/>
  <c r="F218" i="16"/>
  <c r="E218" i="16"/>
  <c r="D218" i="16"/>
  <c r="C218" i="16"/>
  <c r="F217" i="16"/>
  <c r="E217" i="16"/>
  <c r="D217" i="16"/>
  <c r="C217" i="16"/>
  <c r="F216" i="16"/>
  <c r="E216" i="16"/>
  <c r="D216" i="16"/>
  <c r="C216" i="16"/>
  <c r="F215" i="16"/>
  <c r="E215" i="16"/>
  <c r="D215" i="16"/>
  <c r="C215" i="16"/>
  <c r="F214" i="16"/>
  <c r="E214" i="16"/>
  <c r="D214" i="16"/>
  <c r="C214" i="16"/>
  <c r="F213" i="16"/>
  <c r="E213" i="16"/>
  <c r="D213" i="16"/>
  <c r="C213" i="16"/>
  <c r="F212" i="16"/>
  <c r="E212" i="16"/>
  <c r="D212" i="16"/>
  <c r="C212" i="16"/>
  <c r="F211" i="16"/>
  <c r="E211" i="16"/>
  <c r="D211" i="16"/>
  <c r="C211" i="16"/>
  <c r="F210" i="16"/>
  <c r="E210" i="16"/>
  <c r="D210" i="16"/>
  <c r="C210" i="16"/>
  <c r="F209" i="16"/>
  <c r="E209" i="16"/>
  <c r="D209" i="16"/>
  <c r="C209" i="16"/>
  <c r="F208" i="16"/>
  <c r="E208" i="16"/>
  <c r="D208" i="16"/>
  <c r="C208" i="16"/>
  <c r="F207" i="16"/>
  <c r="E207" i="16"/>
  <c r="D207" i="16"/>
  <c r="C207" i="16"/>
  <c r="F206" i="16"/>
  <c r="E206" i="16"/>
  <c r="D206" i="16"/>
  <c r="C206" i="16"/>
  <c r="F205" i="16"/>
  <c r="E205" i="16"/>
  <c r="D205" i="16"/>
  <c r="C205" i="16"/>
  <c r="F204" i="16"/>
  <c r="E204" i="16"/>
  <c r="D204" i="16"/>
  <c r="C204" i="16"/>
  <c r="F203" i="16"/>
  <c r="E203" i="16"/>
  <c r="D203" i="16"/>
  <c r="C203" i="16"/>
  <c r="F202" i="16"/>
  <c r="E202" i="16"/>
  <c r="D202" i="16"/>
  <c r="C202" i="16"/>
  <c r="F201" i="16"/>
  <c r="E201" i="16"/>
  <c r="D201" i="16"/>
  <c r="C201" i="16"/>
  <c r="F200" i="16"/>
  <c r="E200" i="16"/>
  <c r="D200" i="16"/>
  <c r="C200" i="16"/>
  <c r="F199" i="16"/>
  <c r="E199" i="16"/>
  <c r="D199" i="16"/>
  <c r="C199" i="16"/>
  <c r="F198" i="16"/>
  <c r="E198" i="16"/>
  <c r="D198" i="16"/>
  <c r="C198" i="16"/>
  <c r="F197" i="16"/>
  <c r="E197" i="16"/>
  <c r="C197" i="16"/>
  <c r="F196" i="16"/>
  <c r="E196" i="16"/>
  <c r="C196" i="16"/>
  <c r="F195" i="16"/>
  <c r="E195" i="16"/>
  <c r="C195" i="16"/>
  <c r="F194" i="16"/>
  <c r="E194" i="16"/>
  <c r="C194" i="16"/>
  <c r="F193" i="16"/>
  <c r="E193" i="16"/>
  <c r="C193" i="16"/>
  <c r="F192" i="16"/>
  <c r="E192" i="16"/>
  <c r="C192" i="16"/>
  <c r="F191" i="16"/>
  <c r="E191" i="16"/>
  <c r="C191" i="16"/>
  <c r="F190" i="16"/>
  <c r="E190" i="16"/>
  <c r="C190" i="16"/>
  <c r="F189" i="16"/>
  <c r="E189" i="16"/>
  <c r="D189" i="16"/>
  <c r="C189" i="16"/>
  <c r="F188" i="16"/>
  <c r="E188" i="16"/>
  <c r="D188" i="16"/>
  <c r="C188" i="16"/>
  <c r="F187" i="16"/>
  <c r="E187" i="16"/>
  <c r="D187" i="16"/>
  <c r="C187" i="16"/>
  <c r="F186" i="16"/>
  <c r="E186" i="16"/>
  <c r="D186" i="16"/>
  <c r="C186" i="16"/>
  <c r="F185" i="16"/>
  <c r="E185" i="16"/>
  <c r="D185" i="16"/>
  <c r="C185" i="16"/>
  <c r="F184" i="16"/>
  <c r="E184" i="16"/>
  <c r="D184" i="16"/>
  <c r="C184" i="16"/>
  <c r="F183" i="16"/>
  <c r="E183" i="16"/>
  <c r="D183" i="16"/>
  <c r="C183" i="16"/>
  <c r="F182" i="16"/>
  <c r="E182" i="16"/>
  <c r="D182" i="16"/>
  <c r="C182" i="16"/>
  <c r="F181" i="16"/>
  <c r="E181" i="16"/>
  <c r="D181" i="16"/>
  <c r="C181" i="16"/>
  <c r="F180" i="16"/>
  <c r="E180" i="16"/>
  <c r="D180" i="16"/>
  <c r="C180" i="16"/>
  <c r="F179" i="16"/>
  <c r="E179" i="16"/>
  <c r="D179" i="16"/>
  <c r="C179" i="16"/>
  <c r="F178" i="16"/>
  <c r="E178" i="16"/>
  <c r="D178" i="16"/>
  <c r="C178" i="16"/>
  <c r="F177" i="16"/>
  <c r="E177" i="16"/>
  <c r="D177" i="16"/>
  <c r="C177" i="16"/>
  <c r="F176" i="16"/>
  <c r="E176" i="16"/>
  <c r="D176" i="16"/>
  <c r="C176" i="16"/>
  <c r="F175" i="16"/>
  <c r="E175" i="16"/>
  <c r="D175" i="16"/>
  <c r="C175" i="16"/>
  <c r="F174" i="16"/>
  <c r="E174" i="16"/>
  <c r="D174" i="16"/>
  <c r="C174" i="16"/>
  <c r="F173" i="16"/>
  <c r="E173" i="16"/>
  <c r="D173" i="16"/>
  <c r="C173" i="16"/>
  <c r="F172" i="16"/>
  <c r="E172" i="16"/>
  <c r="D172" i="16"/>
  <c r="C172" i="16"/>
  <c r="F171" i="16"/>
  <c r="E171" i="16"/>
  <c r="D171" i="16"/>
  <c r="C171" i="16"/>
  <c r="F170" i="16"/>
  <c r="E170" i="16"/>
  <c r="D170" i="16"/>
  <c r="C170" i="16"/>
  <c r="F169" i="16"/>
  <c r="E169" i="16"/>
  <c r="D169" i="16"/>
  <c r="C169" i="16"/>
  <c r="F168" i="16"/>
  <c r="E168" i="16"/>
  <c r="D168" i="16"/>
  <c r="C168" i="16"/>
  <c r="F167" i="16"/>
  <c r="E167" i="16"/>
  <c r="D167" i="16"/>
  <c r="C167" i="16"/>
  <c r="F166" i="16"/>
  <c r="D166" i="16"/>
  <c r="C166" i="16"/>
  <c r="F165" i="16"/>
  <c r="D165" i="16"/>
  <c r="C165" i="16"/>
  <c r="F164" i="16"/>
  <c r="D164" i="16"/>
  <c r="C164" i="16"/>
  <c r="F163" i="16"/>
  <c r="C163" i="16"/>
  <c r="F162" i="16"/>
  <c r="C162" i="16"/>
  <c r="F161" i="16"/>
  <c r="C161" i="16"/>
  <c r="F160" i="16"/>
  <c r="C160" i="16"/>
  <c r="F159" i="16"/>
  <c r="C159" i="16"/>
  <c r="F158" i="16"/>
  <c r="C158" i="16"/>
  <c r="F157" i="16"/>
  <c r="C157" i="16"/>
  <c r="F156" i="16"/>
  <c r="C156" i="16"/>
  <c r="F155" i="16"/>
  <c r="F154" i="16"/>
  <c r="F153" i="16"/>
  <c r="F152" i="16"/>
  <c r="F151" i="16"/>
  <c r="F150" i="16"/>
  <c r="F149" i="16"/>
  <c r="F148" i="16"/>
  <c r="F147" i="16"/>
  <c r="F146" i="16"/>
  <c r="D146" i="16"/>
  <c r="F145" i="16"/>
  <c r="D145" i="16"/>
  <c r="F144" i="16"/>
  <c r="D144" i="16"/>
  <c r="F143" i="16"/>
  <c r="D143" i="16"/>
  <c r="F142" i="16"/>
  <c r="D142" i="16"/>
  <c r="F141" i="16"/>
  <c r="D141" i="16"/>
  <c r="F140" i="16"/>
  <c r="D140" i="16"/>
  <c r="D139" i="16"/>
  <c r="D138" i="16"/>
  <c r="D137" i="16"/>
  <c r="D136" i="16"/>
  <c r="D135" i="16"/>
  <c r="D134" i="16"/>
  <c r="D133" i="16"/>
  <c r="D132" i="16"/>
  <c r="D131" i="16"/>
  <c r="D130" i="16"/>
  <c r="D129" i="16"/>
  <c r="D128" i="16"/>
  <c r="D127" i="16"/>
  <c r="D126" i="16"/>
  <c r="D125" i="16"/>
  <c r="D124" i="16"/>
  <c r="D123" i="16"/>
  <c r="D122" i="16"/>
  <c r="D121" i="16"/>
  <c r="D120" i="16"/>
  <c r="D119" i="16"/>
  <c r="D118" i="16"/>
  <c r="D117" i="16"/>
  <c r="D116" i="16"/>
  <c r="D115" i="16"/>
  <c r="D114" i="16"/>
  <c r="D113" i="16"/>
  <c r="D112" i="16"/>
  <c r="D111" i="16"/>
  <c r="D110" i="16"/>
  <c r="D109" i="16"/>
  <c r="D108" i="16"/>
  <c r="D107" i="16"/>
  <c r="D106" i="16"/>
  <c r="D105" i="16"/>
  <c r="D104" i="16"/>
  <c r="D103" i="16"/>
  <c r="D102" i="16"/>
  <c r="D101" i="16"/>
  <c r="D100" i="16"/>
  <c r="D99" i="16"/>
  <c r="D98" i="16"/>
  <c r="D97" i="16"/>
  <c r="D96" i="16"/>
  <c r="D95" i="16"/>
  <c r="D94" i="16"/>
  <c r="D93" i="16"/>
  <c r="D92" i="16"/>
  <c r="D91" i="16"/>
  <c r="D90" i="16"/>
  <c r="D89" i="16"/>
  <c r="D88" i="16"/>
  <c r="D87" i="16"/>
  <c r="D86" i="16"/>
  <c r="D85" i="16"/>
  <c r="D84" i="16"/>
  <c r="D83" i="16"/>
  <c r="D82" i="16"/>
  <c r="D81" i="16"/>
  <c r="D80" i="16"/>
  <c r="D79" i="16"/>
  <c r="D78" i="16"/>
  <c r="D77" i="16"/>
  <c r="D76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7" i="16"/>
  <c r="D56" i="16"/>
  <c r="D55" i="16"/>
  <c r="D54" i="16"/>
  <c r="D53" i="16"/>
  <c r="D52" i="16"/>
  <c r="D51" i="16"/>
  <c r="D50" i="16"/>
  <c r="D49" i="16"/>
  <c r="D48" i="16"/>
  <c r="D47" i="16"/>
  <c r="D46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33" i="16"/>
  <c r="D32" i="16"/>
  <c r="D31" i="16"/>
  <c r="D30" i="16"/>
  <c r="D29" i="16"/>
  <c r="D28" i="16"/>
  <c r="D27" i="16"/>
  <c r="D26" i="16"/>
  <c r="D25" i="16"/>
  <c r="D24" i="16"/>
  <c r="D23" i="16"/>
  <c r="D22" i="16"/>
  <c r="D21" i="16"/>
  <c r="D20" i="16"/>
  <c r="D19" i="16"/>
  <c r="D18" i="16"/>
  <c r="D17" i="16"/>
  <c r="D16" i="16"/>
  <c r="E15" i="16"/>
  <c r="D15" i="16"/>
  <c r="E14" i="16"/>
  <c r="D14" i="16"/>
  <c r="E13" i="16"/>
  <c r="D13" i="16"/>
  <c r="E12" i="16"/>
  <c r="D12" i="16"/>
  <c r="E11" i="16"/>
  <c r="D11" i="16"/>
  <c r="E10" i="16"/>
  <c r="D10" i="16"/>
  <c r="E9" i="16"/>
  <c r="D9" i="16"/>
  <c r="E8" i="16"/>
  <c r="D8" i="16"/>
  <c r="E7" i="16"/>
  <c r="D7" i="16"/>
  <c r="E6" i="16"/>
  <c r="D6" i="16"/>
  <c r="E5" i="16"/>
  <c r="D5" i="16"/>
  <c r="E4" i="16"/>
  <c r="D4" i="16"/>
  <c r="E3" i="16"/>
  <c r="D3" i="16"/>
  <c r="E2" i="16"/>
  <c r="D2" i="16"/>
  <c r="B158" i="17"/>
  <c r="B157" i="17"/>
  <c r="B156" i="17"/>
  <c r="B155" i="17"/>
  <c r="B154" i="17"/>
  <c r="B153" i="17"/>
  <c r="B152" i="17"/>
  <c r="B151" i="17"/>
  <c r="B150" i="17"/>
  <c r="B149" i="17"/>
  <c r="B148" i="17"/>
  <c r="B147" i="17"/>
  <c r="B146" i="17"/>
  <c r="B145" i="17"/>
  <c r="B144" i="17"/>
  <c r="B143" i="17"/>
  <c r="B142" i="17"/>
  <c r="B141" i="17"/>
  <c r="B140" i="17"/>
  <c r="B139" i="17"/>
  <c r="B138" i="17"/>
  <c r="B137" i="17"/>
  <c r="B136" i="17"/>
  <c r="B135" i="17"/>
  <c r="B134" i="17"/>
  <c r="B133" i="17"/>
  <c r="B132" i="17"/>
  <c r="B131" i="17"/>
  <c r="B130" i="17"/>
  <c r="B129" i="17"/>
  <c r="B128" i="17"/>
  <c r="B127" i="17"/>
  <c r="B126" i="17"/>
  <c r="B125" i="17"/>
  <c r="B124" i="17"/>
  <c r="B123" i="17"/>
  <c r="B122" i="17"/>
  <c r="B121" i="17"/>
  <c r="B120" i="17"/>
  <c r="B119" i="17"/>
  <c r="B118" i="17"/>
  <c r="B117" i="17"/>
  <c r="B116" i="17"/>
  <c r="B115" i="17"/>
  <c r="B114" i="17"/>
  <c r="B113" i="17"/>
  <c r="B112" i="17"/>
  <c r="B111" i="17"/>
  <c r="B110" i="17"/>
  <c r="B109" i="17"/>
  <c r="B108" i="17"/>
  <c r="B107" i="17"/>
  <c r="B106" i="17"/>
  <c r="B105" i="17"/>
  <c r="B104" i="17"/>
  <c r="B103" i="17"/>
  <c r="B102" i="17"/>
  <c r="B101" i="17"/>
  <c r="B100" i="17"/>
  <c r="B99" i="17"/>
  <c r="B98" i="17"/>
  <c r="B97" i="17"/>
  <c r="B96" i="17"/>
  <c r="B95" i="17"/>
  <c r="B94" i="17"/>
  <c r="B93" i="17"/>
  <c r="B92" i="17"/>
  <c r="B91" i="17"/>
  <c r="B90" i="17"/>
  <c r="B89" i="17"/>
  <c r="B88" i="17"/>
  <c r="B87" i="17"/>
  <c r="B86" i="17"/>
  <c r="B85" i="17"/>
  <c r="B84" i="17"/>
  <c r="B83" i="17"/>
  <c r="B82" i="17"/>
  <c r="B81" i="17"/>
  <c r="B80" i="17"/>
  <c r="B79" i="17"/>
  <c r="B78" i="17"/>
  <c r="B77" i="17"/>
  <c r="B76" i="17"/>
  <c r="B75" i="17"/>
  <c r="B74" i="17"/>
  <c r="B73" i="17"/>
  <c r="B72" i="17"/>
  <c r="B71" i="17"/>
  <c r="B70" i="17"/>
  <c r="B69" i="17"/>
  <c r="B68" i="17"/>
  <c r="B67" i="17"/>
  <c r="B66" i="17"/>
  <c r="B65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7" i="17"/>
  <c r="B26" i="17"/>
  <c r="B25" i="17"/>
  <c r="B24" i="17"/>
  <c r="B23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B5" i="17"/>
  <c r="B4" i="17"/>
  <c r="B3" i="17"/>
  <c r="B228" i="17" s="1"/>
  <c r="B2" i="17"/>
  <c r="K8" i="19"/>
  <c r="M3" i="19" s="1"/>
  <c r="H8" i="19"/>
  <c r="L4" i="19"/>
  <c r="L5" i="19" s="1"/>
  <c r="L3" i="19"/>
  <c r="I3" i="19"/>
  <c r="I4" i="19" s="1"/>
  <c r="L2" i="19"/>
  <c r="M2" i="19" s="1"/>
  <c r="I2" i="19"/>
  <c r="J2" i="19" s="1"/>
  <c r="F2" i="19"/>
  <c r="F3" i="19" s="1"/>
  <c r="F4" i="19" s="1"/>
  <c r="F5" i="19" s="1"/>
  <c r="F6" i="19" s="1"/>
  <c r="F7" i="19" s="1"/>
  <c r="E2" i="19"/>
  <c r="E3" i="19" s="1"/>
  <c r="E4" i="19" s="1"/>
  <c r="E5" i="19" s="1"/>
  <c r="E6" i="19" s="1"/>
  <c r="E7" i="19" s="1"/>
  <c r="AIM131" i="1"/>
  <c r="AIM130" i="1"/>
  <c r="AIM129" i="1"/>
  <c r="AIN107" i="1"/>
  <c r="AIK107" i="1"/>
  <c r="AIL107" i="1" s="1"/>
  <c r="AIL94" i="1"/>
  <c r="AJJ72" i="1"/>
  <c r="AJL72" i="1" s="1"/>
  <c r="AJI72" i="1"/>
  <c r="AJN72" i="1" s="1"/>
  <c r="AIJ72" i="1"/>
  <c r="AJI69" i="1"/>
  <c r="AJN69" i="1" s="1"/>
  <c r="AJN68" i="1"/>
  <c r="AJG68" i="1"/>
  <c r="AJI64" i="1"/>
  <c r="AJN64" i="1" s="1"/>
  <c r="AIK64" i="1"/>
  <c r="C7" i="28" s="1"/>
  <c r="AIJ64" i="1"/>
  <c r="SJ64" i="1"/>
  <c r="AIK63" i="1"/>
  <c r="AIJ63" i="1"/>
  <c r="AIL62" i="1"/>
  <c r="AIK62" i="1"/>
  <c r="AIJ62" i="1"/>
  <c r="AIK61" i="1"/>
  <c r="C6" i="28" s="1"/>
  <c r="AIJ61" i="1"/>
  <c r="SJ61" i="1"/>
  <c r="AIJ60" i="1"/>
  <c r="AIJ58" i="1"/>
  <c r="GI34" i="1"/>
  <c r="GG34" i="1"/>
  <c r="GI32" i="1"/>
  <c r="GG32" i="1"/>
  <c r="GI31" i="1"/>
  <c r="GG31" i="1"/>
  <c r="GI30" i="1"/>
  <c r="GG30" i="1"/>
  <c r="GI29" i="1"/>
  <c r="GG29" i="1"/>
  <c r="GI28" i="1"/>
  <c r="GG28" i="1"/>
  <c r="GI27" i="1"/>
  <c r="GG27" i="1"/>
  <c r="GI26" i="1"/>
  <c r="GG26" i="1"/>
  <c r="D26" i="1"/>
  <c r="C26" i="1"/>
  <c r="B26" i="1"/>
  <c r="GI25" i="1"/>
  <c r="GG25" i="1"/>
  <c r="E25" i="1"/>
  <c r="D25" i="1"/>
  <c r="C25" i="1"/>
  <c r="B25" i="1"/>
  <c r="GI24" i="1"/>
  <c r="GG24" i="1"/>
  <c r="CU24" i="1"/>
  <c r="GI23" i="1"/>
  <c r="GG23" i="1"/>
  <c r="GI22" i="1"/>
  <c r="GG22" i="1"/>
  <c r="E22" i="1"/>
  <c r="D22" i="1"/>
  <c r="C22" i="1"/>
  <c r="B22" i="1"/>
  <c r="GI21" i="1"/>
  <c r="GG21" i="1"/>
  <c r="GI20" i="1"/>
  <c r="GG20" i="1"/>
  <c r="AIO10" i="1"/>
  <c r="AIL10" i="1"/>
  <c r="AIO9" i="1"/>
  <c r="AIL9" i="1"/>
  <c r="KJ6" i="1"/>
  <c r="KI6" i="1"/>
  <c r="KH6" i="1"/>
  <c r="KG6" i="1"/>
  <c r="KF6" i="1"/>
  <c r="KE6" i="1"/>
  <c r="KD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6" i="1"/>
  <c r="H6" i="1" s="1"/>
  <c r="I6" i="1" s="1"/>
  <c r="J6" i="1" s="1"/>
  <c r="K6" i="1" s="1"/>
  <c r="L6" i="1" s="1"/>
  <c r="M6" i="1" s="1"/>
  <c r="N6" i="1" s="1"/>
  <c r="O6" i="1" s="1"/>
  <c r="P6" i="1" s="1"/>
  <c r="Q6" i="1" s="1"/>
  <c r="R6" i="1" s="1"/>
  <c r="S6" i="1" s="1"/>
  <c r="T6" i="1" s="1"/>
  <c r="AIO6" i="1"/>
  <c r="AIM6" i="1"/>
  <c r="AIL6" i="1"/>
  <c r="SG5" i="1"/>
  <c r="SF5" i="1"/>
  <c r="SE5" i="1"/>
  <c r="SD5" i="1"/>
  <c r="SC5" i="1"/>
  <c r="SB5" i="1"/>
  <c r="SA5" i="1"/>
  <c r="RZ5" i="1"/>
  <c r="RY5" i="1"/>
  <c r="RX5" i="1"/>
  <c r="RW5" i="1"/>
  <c r="RV5" i="1"/>
  <c r="RU5" i="1"/>
  <c r="RT5" i="1"/>
  <c r="RS5" i="1"/>
  <c r="RR5" i="1"/>
  <c r="RQ5" i="1"/>
  <c r="RP5" i="1"/>
  <c r="RO5" i="1"/>
  <c r="RN5" i="1"/>
  <c r="RM5" i="1"/>
  <c r="RL5" i="1"/>
  <c r="RK5" i="1"/>
  <c r="RJ5" i="1"/>
  <c r="RI5" i="1"/>
  <c r="RH5" i="1"/>
  <c r="RG5" i="1"/>
  <c r="RF5" i="1"/>
  <c r="RE5" i="1"/>
  <c r="RD5" i="1"/>
  <c r="RC5" i="1"/>
  <c r="RB5" i="1"/>
  <c r="RA5" i="1"/>
  <c r="QZ5" i="1"/>
  <c r="QY5" i="1"/>
  <c r="QX5" i="1"/>
  <c r="QW5" i="1"/>
  <c r="QV5" i="1"/>
  <c r="QU5" i="1"/>
  <c r="QT5" i="1"/>
  <c r="QS5" i="1"/>
  <c r="QR5" i="1"/>
  <c r="QQ5" i="1"/>
  <c r="QP5" i="1"/>
  <c r="QO5" i="1"/>
  <c r="QN5" i="1"/>
  <c r="QM5" i="1"/>
  <c r="QL5" i="1"/>
  <c r="QK5" i="1"/>
  <c r="QJ5" i="1"/>
  <c r="QI5" i="1"/>
  <c r="QH5" i="1"/>
  <c r="QG5" i="1"/>
  <c r="QF5" i="1"/>
  <c r="QE5" i="1"/>
  <c r="QD5" i="1"/>
  <c r="QC5" i="1"/>
  <c r="QB5" i="1"/>
  <c r="QA5" i="1"/>
  <c r="PZ5" i="1"/>
  <c r="PY5" i="1"/>
  <c r="PX5" i="1"/>
  <c r="PW5" i="1"/>
  <c r="PV5" i="1"/>
  <c r="PU5" i="1"/>
  <c r="PT5" i="1"/>
  <c r="PS5" i="1"/>
  <c r="PR5" i="1"/>
  <c r="PQ5" i="1"/>
  <c r="PP5" i="1"/>
  <c r="PO5" i="1"/>
  <c r="PN5" i="1"/>
  <c r="PM5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P5" i="1"/>
  <c r="K5" i="1"/>
  <c r="L5" i="1" s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C4" i="1"/>
  <c r="AB4" i="1"/>
  <c r="AA4" i="1"/>
  <c r="Z4" i="1"/>
  <c r="Y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E24" i="1" s="1"/>
  <c r="F4" i="1"/>
  <c r="D24" i="1" s="1"/>
  <c r="E4" i="1"/>
  <c r="C24" i="1" s="1"/>
  <c r="D4" i="1"/>
  <c r="B24" i="1" s="1"/>
  <c r="AJI3" i="1"/>
  <c r="AJG3" i="1"/>
  <c r="AJF3" i="1"/>
  <c r="VC3" i="21"/>
  <c r="UV61" i="21" s="1"/>
  <c r="SG3" i="1"/>
  <c r="SF3" i="1"/>
  <c r="SE3" i="1"/>
  <c r="SD3" i="1"/>
  <c r="SC3" i="1"/>
  <c r="SB3" i="1"/>
  <c r="SA3" i="1"/>
  <c r="RZ3" i="1"/>
  <c r="RY3" i="1"/>
  <c r="RX3" i="1"/>
  <c r="RW3" i="1"/>
  <c r="RV3" i="1"/>
  <c r="RU3" i="1"/>
  <c r="RT3" i="1"/>
  <c r="RS3" i="1"/>
  <c r="RR3" i="1"/>
  <c r="RQ3" i="1"/>
  <c r="RP3" i="1"/>
  <c r="RO3" i="1"/>
  <c r="RN3" i="1"/>
  <c r="RM3" i="1"/>
  <c r="RL3" i="1"/>
  <c r="RK3" i="1"/>
  <c r="RJ3" i="1"/>
  <c r="RI3" i="1"/>
  <c r="RH3" i="1"/>
  <c r="RG3" i="1"/>
  <c r="RF3" i="1"/>
  <c r="RE3" i="1"/>
  <c r="RD3" i="1"/>
  <c r="RC3" i="1"/>
  <c r="RB3" i="1"/>
  <c r="RA3" i="1"/>
  <c r="QZ3" i="1"/>
  <c r="QY3" i="1"/>
  <c r="QX3" i="1"/>
  <c r="QW3" i="1"/>
  <c r="QV3" i="1"/>
  <c r="QU3" i="1"/>
  <c r="QT3" i="1"/>
  <c r="QS3" i="1"/>
  <c r="QR3" i="1"/>
  <c r="QQ3" i="1"/>
  <c r="QP3" i="1"/>
  <c r="QO3" i="1"/>
  <c r="QN3" i="1"/>
  <c r="QM3" i="1"/>
  <c r="QL3" i="1"/>
  <c r="QK3" i="1"/>
  <c r="QJ3" i="1"/>
  <c r="QI3" i="1"/>
  <c r="QH3" i="1"/>
  <c r="QG3" i="1"/>
  <c r="QF3" i="1"/>
  <c r="QE3" i="1"/>
  <c r="QD3" i="1"/>
  <c r="QC3" i="1"/>
  <c r="QB3" i="1"/>
  <c r="QA3" i="1"/>
  <c r="PZ3" i="1"/>
  <c r="PY3" i="1"/>
  <c r="PX3" i="1"/>
  <c r="PW3" i="1"/>
  <c r="PV3" i="1"/>
  <c r="PU3" i="1"/>
  <c r="PT3" i="1"/>
  <c r="PS3" i="1"/>
  <c r="PR3" i="1"/>
  <c r="PQ3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KJ3" i="1"/>
  <c r="KI3" i="1"/>
  <c r="KH3" i="1"/>
  <c r="KG3" i="1"/>
  <c r="KF3" i="1"/>
  <c r="KE3" i="1"/>
  <c r="KD3" i="1"/>
  <c r="KC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SG2" i="1"/>
  <c r="SF2" i="1"/>
  <c r="SE2" i="1"/>
  <c r="SD2" i="1"/>
  <c r="SC2" i="1"/>
  <c r="SB2" i="1"/>
  <c r="SA2" i="1"/>
  <c r="RZ2" i="1"/>
  <c r="RY2" i="1"/>
  <c r="RX2" i="1"/>
  <c r="RW2" i="1"/>
  <c r="RV2" i="1"/>
  <c r="RU2" i="1"/>
  <c r="RT2" i="1"/>
  <c r="RS2" i="1"/>
  <c r="RR2" i="1"/>
  <c r="RQ2" i="1"/>
  <c r="RP2" i="1"/>
  <c r="RO2" i="1"/>
  <c r="RN2" i="1"/>
  <c r="RM2" i="1"/>
  <c r="RL2" i="1"/>
  <c r="RK2" i="1"/>
  <c r="RJ2" i="1"/>
  <c r="RI2" i="1"/>
  <c r="RH2" i="1"/>
  <c r="RG2" i="1"/>
  <c r="RF2" i="1"/>
  <c r="RE2" i="1"/>
  <c r="RD2" i="1"/>
  <c r="RC2" i="1"/>
  <c r="RB2" i="1"/>
  <c r="RA2" i="1"/>
  <c r="QZ2" i="1"/>
  <c r="QY2" i="1"/>
  <c r="QX2" i="1"/>
  <c r="QW2" i="1"/>
  <c r="QV2" i="1"/>
  <c r="QU2" i="1"/>
  <c r="QT2" i="1"/>
  <c r="QS2" i="1"/>
  <c r="QR2" i="1"/>
  <c r="QQ2" i="1"/>
  <c r="QP2" i="1"/>
  <c r="QO2" i="1"/>
  <c r="QN2" i="1"/>
  <c r="QM2" i="1"/>
  <c r="QL2" i="1"/>
  <c r="QK2" i="1"/>
  <c r="QJ2" i="1"/>
  <c r="QI2" i="1"/>
  <c r="QH2" i="1"/>
  <c r="QG2" i="1"/>
  <c r="QF2" i="1"/>
  <c r="QE2" i="1"/>
  <c r="QD2" i="1"/>
  <c r="QC2" i="1"/>
  <c r="QB2" i="1"/>
  <c r="QA2" i="1"/>
  <c r="PZ2" i="1"/>
  <c r="PY2" i="1"/>
  <c r="PX2" i="1"/>
  <c r="PW2" i="1"/>
  <c r="PV2" i="1"/>
  <c r="PU2" i="1"/>
  <c r="PT2" i="1"/>
  <c r="PS2" i="1"/>
  <c r="PR2" i="1"/>
  <c r="PQ2" i="1"/>
  <c r="PP2" i="1"/>
  <c r="PO2" i="1"/>
  <c r="PN2" i="1"/>
  <c r="PM2" i="1"/>
  <c r="PL2" i="1"/>
  <c r="PK2" i="1"/>
  <c r="PJ2" i="1"/>
  <c r="PI2" i="1"/>
  <c r="PH2" i="1"/>
  <c r="PG2" i="1"/>
  <c r="PF2" i="1"/>
  <c r="PE2" i="1"/>
  <c r="PD2" i="1"/>
  <c r="PC2" i="1"/>
  <c r="PB2" i="1"/>
  <c r="PA2" i="1"/>
  <c r="OZ2" i="1"/>
  <c r="OY2" i="1"/>
  <c r="OX2" i="1"/>
  <c r="OW2" i="1"/>
  <c r="OV2" i="1"/>
  <c r="OU2" i="1"/>
  <c r="OT2" i="1"/>
  <c r="OS2" i="1"/>
  <c r="OR2" i="1"/>
  <c r="OQ2" i="1"/>
  <c r="OP2" i="1"/>
  <c r="OO2" i="1"/>
  <c r="ON2" i="1"/>
  <c r="OM2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Q2" i="1"/>
  <c r="AA54" i="3"/>
  <c r="AA31" i="3"/>
  <c r="AC31" i="3" s="1"/>
  <c r="AA30" i="3"/>
  <c r="AC30" i="3" s="1"/>
  <c r="Y29" i="3"/>
  <c r="X29" i="3"/>
  <c r="W29" i="3"/>
  <c r="V29" i="3"/>
  <c r="U29" i="3"/>
  <c r="T29" i="3"/>
  <c r="S29" i="3"/>
  <c r="R29" i="3"/>
  <c r="Q29" i="3"/>
  <c r="P29" i="3"/>
  <c r="Y28" i="3"/>
  <c r="X28" i="3"/>
  <c r="W28" i="3"/>
  <c r="V28" i="3"/>
  <c r="U28" i="3"/>
  <c r="T28" i="3"/>
  <c r="S28" i="3"/>
  <c r="R28" i="3"/>
  <c r="Q28" i="3"/>
  <c r="P28" i="3"/>
  <c r="AA27" i="3"/>
  <c r="AC27" i="3" s="1"/>
  <c r="AA23" i="3"/>
  <c r="AC23" i="3" s="1"/>
  <c r="AA22" i="3"/>
  <c r="AC22" i="3" s="1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Y20" i="3"/>
  <c r="X20" i="3"/>
  <c r="W20" i="3"/>
  <c r="V20" i="3"/>
  <c r="U20" i="3"/>
  <c r="T20" i="3"/>
  <c r="S20" i="3"/>
  <c r="R20" i="3"/>
  <c r="Q20" i="3"/>
  <c r="P20" i="3"/>
  <c r="O20" i="3"/>
  <c r="M20" i="3"/>
  <c r="L20" i="3"/>
  <c r="K20" i="3"/>
  <c r="J20" i="3"/>
  <c r="I20" i="3"/>
  <c r="H20" i="3"/>
  <c r="AC19" i="3"/>
  <c r="AA19" i="3"/>
  <c r="AB19" i="3" s="1"/>
  <c r="AA15" i="3"/>
  <c r="AB15" i="3" s="1"/>
  <c r="AA14" i="3"/>
  <c r="AC14" i="3" s="1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AA11" i="3"/>
  <c r="AC11" i="3" s="1"/>
  <c r="AB7" i="3"/>
  <c r="AA7" i="3"/>
  <c r="AC7" i="3" s="1"/>
  <c r="AA6" i="3"/>
  <c r="AC6" i="3" s="1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X4" i="3"/>
  <c r="W4" i="3"/>
  <c r="V4" i="3"/>
  <c r="U4" i="3"/>
  <c r="T4" i="3"/>
  <c r="S4" i="3"/>
  <c r="R4" i="3"/>
  <c r="Q4" i="3"/>
  <c r="AA4" i="3" s="1"/>
  <c r="P4" i="3"/>
  <c r="O4" i="3"/>
  <c r="AA3" i="3"/>
  <c r="AB3" i="3" s="1"/>
  <c r="E2" i="2"/>
  <c r="E1" i="2"/>
  <c r="C11" i="13"/>
  <c r="B76" i="29" l="1"/>
  <c r="B93" i="31"/>
  <c r="B123" i="30" s="1"/>
  <c r="UV60" i="21"/>
  <c r="C7" i="22" s="1"/>
  <c r="ABG89" i="27"/>
  <c r="AIK88" i="1"/>
  <c r="C61" i="31" s="1"/>
  <c r="C91" i="30" s="1"/>
  <c r="AIK87" i="1"/>
  <c r="C60" i="31" s="1"/>
  <c r="C90" i="30" s="1"/>
  <c r="UW66" i="21"/>
  <c r="ABH93" i="27"/>
  <c r="AIM132" i="1"/>
  <c r="AC3" i="3"/>
  <c r="AA20" i="3"/>
  <c r="AC20" i="3" s="1"/>
  <c r="AA28" i="3"/>
  <c r="AC28" i="3" s="1"/>
  <c r="J3" i="19"/>
  <c r="AA21" i="3"/>
  <c r="AC21" i="3" s="1"/>
  <c r="AA29" i="3"/>
  <c r="AA5" i="3"/>
  <c r="AB22" i="3"/>
  <c r="E3" i="2"/>
  <c r="D3" i="27" s="1"/>
  <c r="AB6" i="3"/>
  <c r="AC15" i="3"/>
  <c r="M4" i="19"/>
  <c r="AA12" i="3"/>
  <c r="AA13" i="3"/>
  <c r="AB13" i="3" s="1"/>
  <c r="AIK60" i="1"/>
  <c r="C5" i="28" s="1"/>
  <c r="AIY62" i="1"/>
  <c r="AIM62" i="1" s="1"/>
  <c r="AIM94" i="1" s="1"/>
  <c r="AIK58" i="1"/>
  <c r="AB12" i="3"/>
  <c r="AC12" i="3"/>
  <c r="AC29" i="3"/>
  <c r="AB29" i="3"/>
  <c r="AC4" i="3"/>
  <c r="AB4" i="3"/>
  <c r="I5" i="19"/>
  <c r="J4" i="19"/>
  <c r="L6" i="19"/>
  <c r="M5" i="19"/>
  <c r="AC5" i="3"/>
  <c r="AB5" i="3"/>
  <c r="E26" i="1"/>
  <c r="AB30" i="3"/>
  <c r="E22" i="21"/>
  <c r="B4" i="22"/>
  <c r="AB11" i="3"/>
  <c r="AB23" i="3"/>
  <c r="AB14" i="3"/>
  <c r="AB27" i="3"/>
  <c r="AB31" i="3"/>
  <c r="WJ70" i="1"/>
  <c r="WJ69" i="1"/>
  <c r="UW73" i="21"/>
  <c r="UV6" i="21" s="1"/>
  <c r="UW6" i="21" s="1"/>
  <c r="WJ62" i="1"/>
  <c r="ST59" i="21"/>
  <c r="UX74" i="21"/>
  <c r="C45" i="29" l="1"/>
  <c r="C9" i="22"/>
  <c r="UV64" i="21"/>
  <c r="C46" i="29"/>
  <c r="ABG87" i="27"/>
  <c r="ABG86" i="27"/>
  <c r="ABI93" i="27"/>
  <c r="WJ68" i="1"/>
  <c r="AIQ68" i="1"/>
  <c r="WJ67" i="1"/>
  <c r="ST58" i="1"/>
  <c r="AIK91" i="1"/>
  <c r="C64" i="31" s="1"/>
  <c r="C94" i="30" s="1"/>
  <c r="AIK65" i="1"/>
  <c r="AIL56" i="1"/>
  <c r="AIK89" i="1"/>
  <c r="C62" i="31" s="1"/>
  <c r="C92" i="30" s="1"/>
  <c r="B23" i="27"/>
  <c r="E3" i="27"/>
  <c r="D3" i="1"/>
  <c r="E3" i="1" s="1"/>
  <c r="C23" i="1" s="1"/>
  <c r="D3" i="21"/>
  <c r="AC13" i="3"/>
  <c r="AB21" i="3"/>
  <c r="AB28" i="3"/>
  <c r="AB20" i="3"/>
  <c r="AIN62" i="1"/>
  <c r="AIX62" i="1" s="1"/>
  <c r="AIO62" i="1" s="1"/>
  <c r="M6" i="19"/>
  <c r="L7" i="19"/>
  <c r="M7" i="19" s="1"/>
  <c r="E3" i="21"/>
  <c r="B19" i="21"/>
  <c r="J5" i="19"/>
  <c r="I6" i="19"/>
  <c r="UX73" i="21"/>
  <c r="C47" i="29" l="1"/>
  <c r="ABG90" i="27"/>
  <c r="ABG88" i="27"/>
  <c r="AIK92" i="1"/>
  <c r="B23" i="1"/>
  <c r="F3" i="1"/>
  <c r="D23" i="1" s="1"/>
  <c r="C23" i="27"/>
  <c r="F3" i="27"/>
  <c r="J6" i="19"/>
  <c r="I7" i="19"/>
  <c r="J7" i="19" s="1"/>
  <c r="C19" i="21"/>
  <c r="F3" i="21"/>
  <c r="UY66" i="21"/>
  <c r="UX66" i="21" s="1"/>
  <c r="D5" i="25" s="1"/>
  <c r="AIQ62" i="1"/>
  <c r="AIP62" i="1"/>
  <c r="C65" i="31" l="1"/>
  <c r="C95" i="30" s="1"/>
  <c r="ABG91" i="27"/>
  <c r="D11" i="22"/>
  <c r="B19" i="25"/>
  <c r="C19" i="25" s="1"/>
  <c r="G3" i="1"/>
  <c r="D23" i="27"/>
  <c r="G3" i="27"/>
  <c r="G3" i="21"/>
  <c r="D19" i="21"/>
  <c r="AIM107" i="1" l="1"/>
  <c r="ABI106" i="27"/>
  <c r="E23" i="27"/>
  <c r="H3" i="27"/>
  <c r="I3" i="27" s="1"/>
  <c r="J3" i="27" s="1"/>
  <c r="K3" i="27" s="1"/>
  <c r="L3" i="27" s="1"/>
  <c r="M3" i="27" s="1"/>
  <c r="N3" i="27" s="1"/>
  <c r="O3" i="27" s="1"/>
  <c r="P3" i="27" s="1"/>
  <c r="Q3" i="27" s="1"/>
  <c r="R3" i="27" s="1"/>
  <c r="S3" i="27" s="1"/>
  <c r="T3" i="27" s="1"/>
  <c r="U3" i="27" s="1"/>
  <c r="V3" i="27" s="1"/>
  <c r="Y3" i="27" s="1"/>
  <c r="Z3" i="27" s="1"/>
  <c r="AA3" i="27" s="1"/>
  <c r="AB3" i="27" s="1"/>
  <c r="AC3" i="27" s="1"/>
  <c r="AD3" i="27" s="1"/>
  <c r="AE3" i="27" s="1"/>
  <c r="AF3" i="27" s="1"/>
  <c r="AG3" i="27" s="1"/>
  <c r="AH3" i="27" s="1"/>
  <c r="AI3" i="27" s="1"/>
  <c r="AJ3" i="27" s="1"/>
  <c r="AK3" i="27" s="1"/>
  <c r="AL3" i="27" s="1"/>
  <c r="AM3" i="27" s="1"/>
  <c r="AN3" i="27" s="1"/>
  <c r="AO3" i="27" s="1"/>
  <c r="AP3" i="27" s="1"/>
  <c r="AQ3" i="27" s="1"/>
  <c r="AR3" i="27" s="1"/>
  <c r="E23" i="1"/>
  <c r="H3" i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Y3" i="1" s="1"/>
  <c r="Z3" i="1" s="1"/>
  <c r="AA3" i="1" s="1"/>
  <c r="AB3" i="1" s="1"/>
  <c r="AC3" i="1" s="1"/>
  <c r="AD3" i="1" s="1"/>
  <c r="AE3" i="1" s="1"/>
  <c r="AF3" i="1" s="1"/>
  <c r="AG3" i="1" s="1"/>
  <c r="AH3" i="1" s="1"/>
  <c r="AI3" i="1" s="1"/>
  <c r="AJ3" i="1" s="1"/>
  <c r="AK3" i="1" s="1"/>
  <c r="AL3" i="1" s="1"/>
  <c r="AM3" i="1" s="1"/>
  <c r="AN3" i="1" s="1"/>
  <c r="AO3" i="1" s="1"/>
  <c r="AP3" i="1" s="1"/>
  <c r="AQ3" i="1" s="1"/>
  <c r="AR3" i="1" s="1"/>
  <c r="E19" i="21"/>
  <c r="H3" i="21"/>
  <c r="I3" i="21" s="1"/>
  <c r="J3" i="21" s="1"/>
  <c r="K3" i="21" s="1"/>
  <c r="L3" i="21" s="1"/>
  <c r="M3" i="21" s="1"/>
  <c r="N3" i="21" s="1"/>
  <c r="O3" i="21" s="1"/>
  <c r="P3" i="21" s="1"/>
  <c r="Q3" i="21" s="1"/>
  <c r="R3" i="21" s="1"/>
  <c r="S3" i="21" s="1"/>
  <c r="T3" i="21" s="1"/>
  <c r="U3" i="21" s="1"/>
  <c r="V3" i="21" s="1"/>
  <c r="Y3" i="21" s="1"/>
  <c r="Z3" i="21" s="1"/>
  <c r="AA3" i="21" s="1"/>
  <c r="AB3" i="21" s="1"/>
  <c r="AC3" i="21" s="1"/>
  <c r="AD3" i="21" s="1"/>
  <c r="AE3" i="21" s="1"/>
  <c r="AF3" i="21" s="1"/>
  <c r="AG3" i="21" s="1"/>
  <c r="AH3" i="21" s="1"/>
  <c r="AI3" i="21" s="1"/>
  <c r="AJ3" i="21" s="1"/>
  <c r="AK3" i="21" s="1"/>
  <c r="AL3" i="21" s="1"/>
  <c r="AM3" i="21" s="1"/>
  <c r="AN3" i="21" s="1"/>
  <c r="AO3" i="21" s="1"/>
  <c r="AP3" i="21" s="1"/>
  <c r="AQ3" i="21" s="1"/>
  <c r="AR3" i="21" s="1"/>
  <c r="B24" i="30" l="1"/>
  <c r="AIJ115" i="1"/>
  <c r="M15" i="32" l="1"/>
  <c r="L692" i="16"/>
  <c r="L691" i="16"/>
  <c r="AIK116" i="1"/>
  <c r="C25" i="30" l="1"/>
  <c r="AIM7" i="1"/>
  <c r="AIL63" i="1"/>
  <c r="AIL95" i="1"/>
  <c r="AIL7" i="1"/>
  <c r="AIO7" i="1"/>
  <c r="D67" i="31" l="1"/>
  <c r="D97" i="30" s="1"/>
  <c r="ABH94" i="27"/>
  <c r="UW67" i="21"/>
  <c r="WJ63" i="1"/>
  <c r="AIY63" i="1"/>
  <c r="AIM63" i="1" s="1"/>
  <c r="AIN63" i="1" s="1"/>
  <c r="AIL117" i="1"/>
  <c r="D26" i="30" s="1"/>
  <c r="AIL118" i="1"/>
  <c r="D27" i="30" s="1"/>
  <c r="AIL116" i="1"/>
  <c r="AIK117" i="1"/>
  <c r="AIK118" i="1"/>
  <c r="AIJ118" i="1" l="1"/>
  <c r="B27" i="30"/>
  <c r="AIJ117" i="1"/>
  <c r="B26" i="30"/>
  <c r="AIJ116" i="1"/>
  <c r="B25" i="30"/>
  <c r="D25" i="30"/>
  <c r="AIM116" i="1"/>
  <c r="E25" i="30" s="1"/>
  <c r="C27" i="30"/>
  <c r="AIM118" i="1"/>
  <c r="E27" i="30" s="1"/>
  <c r="C26" i="30"/>
  <c r="AIM117" i="1"/>
  <c r="E26" i="30" s="1"/>
  <c r="AIX63" i="1"/>
  <c r="AIO63" i="1" s="1"/>
  <c r="AIM95" i="1"/>
  <c r="AIP63" i="1" l="1"/>
  <c r="AIQ63" i="1"/>
  <c r="ABI94" i="27"/>
  <c r="E67" i="31"/>
  <c r="E97" i="30" s="1"/>
  <c r="UY67" i="21"/>
  <c r="UX67" i="21" s="1"/>
  <c r="D6" i="25" s="1"/>
  <c r="AIL112" i="1"/>
  <c r="D21" i="30" s="1"/>
  <c r="AIL113" i="1"/>
  <c r="D22" i="30" s="1"/>
  <c r="AIL111" i="1"/>
  <c r="D20" i="30" s="1"/>
  <c r="B22" i="30" l="1"/>
  <c r="AIJ113" i="1"/>
  <c r="B21" i="30"/>
  <c r="AIJ112" i="1"/>
  <c r="B20" i="30"/>
  <c r="AIJ111" i="1"/>
  <c r="B20" i="25"/>
  <c r="C20" i="25" s="1"/>
  <c r="D12" i="22"/>
  <c r="D48" i="29" s="1"/>
  <c r="AIK112" i="1"/>
  <c r="AIK113" i="1"/>
  <c r="AIK111" i="1"/>
  <c r="AIK121" i="1"/>
  <c r="AIK120" i="1"/>
  <c r="AIK119" i="1"/>
  <c r="AIL121" i="1"/>
  <c r="D30" i="30" s="1"/>
  <c r="AIL120" i="1"/>
  <c r="D29" i="30" s="1"/>
  <c r="AIL119" i="1"/>
  <c r="D28" i="30" s="1"/>
  <c r="AIL115" i="1"/>
  <c r="D24" i="30" s="1"/>
  <c r="AIL114" i="1"/>
  <c r="D23" i="30" s="1"/>
  <c r="AIK115" i="1"/>
  <c r="AIK114" i="1"/>
  <c r="C22" i="30" l="1"/>
  <c r="AIM113" i="1"/>
  <c r="E22" i="30" s="1"/>
  <c r="AIM112" i="1"/>
  <c r="E21" i="30" s="1"/>
  <c r="C21" i="30"/>
  <c r="AIM111" i="1"/>
  <c r="E20" i="30" s="1"/>
  <c r="C20" i="30"/>
  <c r="AIJ121" i="1"/>
  <c r="B30" i="30"/>
  <c r="B29" i="30"/>
  <c r="AIJ120" i="1"/>
  <c r="AIJ119" i="1"/>
  <c r="B28" i="30"/>
  <c r="C30" i="30"/>
  <c r="AIM121" i="1"/>
  <c r="E30" i="30" s="1"/>
  <c r="C28" i="30"/>
  <c r="AIM119" i="1"/>
  <c r="E28" i="30" s="1"/>
  <c r="C29" i="30"/>
  <c r="AIM120" i="1"/>
  <c r="E29" i="30" s="1"/>
  <c r="B23" i="30"/>
  <c r="AIJ114" i="1"/>
  <c r="C23" i="30"/>
  <c r="AIM114" i="1"/>
  <c r="E23" i="30" s="1"/>
  <c r="C24" i="30"/>
  <c r="AIM115" i="1"/>
  <c r="E24" i="30" s="1"/>
  <c r="AIK4" i="1" l="1"/>
  <c r="E12" i="35" s="1"/>
  <c r="M13" i="32" l="1"/>
  <c r="AIK5" i="1"/>
  <c r="AIL60" i="1"/>
  <c r="AIO4" i="1"/>
  <c r="AIL4" i="1"/>
  <c r="AIM4" i="1"/>
  <c r="F12" i="35" l="1"/>
  <c r="AIO5" i="1"/>
  <c r="AIL61" i="1"/>
  <c r="AIM5" i="1"/>
  <c r="AIL5" i="1"/>
  <c r="M16" i="32"/>
  <c r="AJJ68" i="1"/>
  <c r="AJL68" i="1" s="1"/>
  <c r="AIY60" i="1"/>
  <c r="AIM60" i="1" s="1"/>
  <c r="AIN60" i="1" s="1"/>
  <c r="UW61" i="21"/>
  <c r="AIL91" i="1"/>
  <c r="WJ60" i="1"/>
  <c r="AJJ69" i="1" l="1"/>
  <c r="AJL69" i="1" s="1"/>
  <c r="UW62" i="21"/>
  <c r="AIL87" i="1"/>
  <c r="AIK102" i="1" s="1"/>
  <c r="AIL102" i="1" s="1"/>
  <c r="AIY61" i="1"/>
  <c r="AIM61" i="1" s="1"/>
  <c r="AIN61" i="1" s="1"/>
  <c r="WJ61" i="1"/>
  <c r="AIM8" i="1"/>
  <c r="AIL8" i="1"/>
  <c r="AIO8" i="1"/>
  <c r="AIL64" i="1"/>
  <c r="AIY64" i="1" s="1"/>
  <c r="AIM91" i="1"/>
  <c r="AIX60" i="1"/>
  <c r="AIO60" i="1" s="1"/>
  <c r="D64" i="31"/>
  <c r="D94" i="30" s="1"/>
  <c r="AIK105" i="1"/>
  <c r="ABH90" i="27"/>
  <c r="AIQ60" i="1" l="1"/>
  <c r="AIP60" i="1"/>
  <c r="AIN87" i="1"/>
  <c r="AIM87" i="1"/>
  <c r="D60" i="31"/>
  <c r="D90" i="30" s="1"/>
  <c r="ABH86" i="27"/>
  <c r="ABG101" i="27" s="1"/>
  <c r="ABH101" i="27" s="1"/>
  <c r="WJ64" i="1"/>
  <c r="AIM64" i="1"/>
  <c r="AIN64" i="1" s="1"/>
  <c r="AIL88" i="1"/>
  <c r="UW63" i="21"/>
  <c r="D5" i="28"/>
  <c r="AIO91" i="1"/>
  <c r="H16" i="35" s="1"/>
  <c r="UY61" i="21"/>
  <c r="E64" i="31"/>
  <c r="E94" i="30" s="1"/>
  <c r="ABI90" i="27"/>
  <c r="ABG104" i="27"/>
  <c r="ABH104" i="27" s="1"/>
  <c r="AIL105" i="1"/>
  <c r="C15" i="30"/>
  <c r="D15" i="30" s="1"/>
  <c r="AIN91" i="1"/>
  <c r="C12" i="30" l="1"/>
  <c r="D12" i="30" s="1"/>
  <c r="E60" i="31"/>
  <c r="E90" i="30" s="1"/>
  <c r="ABI86" i="27"/>
  <c r="AIX61" i="1"/>
  <c r="AIO61" i="1" s="1"/>
  <c r="F60" i="31"/>
  <c r="F90" i="30" s="1"/>
  <c r="ABJ86" i="27"/>
  <c r="D61" i="31"/>
  <c r="D91" i="30" s="1"/>
  <c r="ABH87" i="27"/>
  <c r="AIK103" i="1"/>
  <c r="AIM88" i="1"/>
  <c r="AIX64" i="1"/>
  <c r="AIO64" i="1" s="1"/>
  <c r="AIQ91" i="1"/>
  <c r="VA61" i="21"/>
  <c r="G64" i="31"/>
  <c r="G94" i="30" s="1"/>
  <c r="AIN105" i="1"/>
  <c r="F15" i="30" s="1"/>
  <c r="ABK90" i="27"/>
  <c r="F64" i="31"/>
  <c r="F94" i="30" s="1"/>
  <c r="ABJ90" i="27"/>
  <c r="E8" i="22"/>
  <c r="UX61" i="21"/>
  <c r="AIP91" i="1"/>
  <c r="UZ61" i="21"/>
  <c r="AIP61" i="1" l="1"/>
  <c r="AIQ61" i="1"/>
  <c r="AIQ64" i="1"/>
  <c r="AIP64" i="1"/>
  <c r="AIO87" i="1"/>
  <c r="D16" i="35" s="1"/>
  <c r="D6" i="28"/>
  <c r="UY62" i="21"/>
  <c r="AIO88" i="1"/>
  <c r="E16" i="35" s="1"/>
  <c r="UY63" i="21"/>
  <c r="D7" i="28"/>
  <c r="AIL103" i="1"/>
  <c r="C13" i="30"/>
  <c r="D13" i="30" s="1"/>
  <c r="ABG102" i="27"/>
  <c r="ABH102" i="27" s="1"/>
  <c r="AIN88" i="1"/>
  <c r="E61" i="31"/>
  <c r="E91" i="30" s="1"/>
  <c r="ABI87" i="27"/>
  <c r="UV3" i="21"/>
  <c r="UW3" i="21" s="1"/>
  <c r="D10" i="25"/>
  <c r="VV70" i="21"/>
  <c r="VX70" i="21" s="1"/>
  <c r="ABJ104" i="27"/>
  <c r="E46" i="29"/>
  <c r="G8" i="22"/>
  <c r="F8" i="22"/>
  <c r="I64" i="31"/>
  <c r="I94" i="30" s="1"/>
  <c r="ABM90" i="27"/>
  <c r="H64" i="31"/>
  <c r="H94" i="30" s="1"/>
  <c r="ABL90" i="27"/>
  <c r="E4" i="22" l="1"/>
  <c r="E42" i="29" s="1"/>
  <c r="UX62" i="21"/>
  <c r="VA62" i="21"/>
  <c r="G4" i="22" s="1"/>
  <c r="G42" i="29" s="1"/>
  <c r="AIQ87" i="1"/>
  <c r="AIP87" i="1"/>
  <c r="UZ62" i="21"/>
  <c r="F4" i="22" s="1"/>
  <c r="F42" i="29" s="1"/>
  <c r="G60" i="31"/>
  <c r="G90" i="30" s="1"/>
  <c r="AIN102" i="1"/>
  <c r="F12" i="30" s="1"/>
  <c r="ABK86" i="27"/>
  <c r="ABJ101" i="27" s="1"/>
  <c r="G61" i="31"/>
  <c r="AIN103" i="1"/>
  <c r="ABK87" i="27"/>
  <c r="E5" i="22"/>
  <c r="UX63" i="21"/>
  <c r="AIP88" i="1"/>
  <c r="UZ63" i="21"/>
  <c r="F61" i="31"/>
  <c r="F91" i="30" s="1"/>
  <c r="ABJ87" i="27"/>
  <c r="AIQ88" i="1"/>
  <c r="VA63" i="21"/>
  <c r="G46" i="29"/>
  <c r="F46" i="29"/>
  <c r="D8" i="22"/>
  <c r="B17" i="25"/>
  <c r="C17" i="25" s="1"/>
  <c r="I60" i="31" l="1"/>
  <c r="I90" i="30" s="1"/>
  <c r="ABM86" i="27"/>
  <c r="H90" i="30"/>
  <c r="ABL86" i="27"/>
  <c r="D4" i="25"/>
  <c r="VV71" i="21"/>
  <c r="VX71" i="21" s="1"/>
  <c r="UV4" i="21"/>
  <c r="UW4" i="21" s="1"/>
  <c r="UV5" i="21"/>
  <c r="UW5" i="21" s="1"/>
  <c r="D7" i="25"/>
  <c r="E43" i="29"/>
  <c r="ABJ102" i="27"/>
  <c r="ABL87" i="27"/>
  <c r="H61" i="31"/>
  <c r="H91" i="30" s="1"/>
  <c r="F5" i="22"/>
  <c r="G5" i="22"/>
  <c r="ABM87" i="27"/>
  <c r="I61" i="31"/>
  <c r="I91" i="30" s="1"/>
  <c r="AIM105" i="1"/>
  <c r="E15" i="30"/>
  <c r="D46" i="29"/>
  <c r="D4" i="22" l="1"/>
  <c r="D42" i="29" s="1"/>
  <c r="B18" i="25"/>
  <c r="C18" i="25" s="1"/>
  <c r="D5" i="22"/>
  <c r="B21" i="25"/>
  <c r="C21" i="25" s="1"/>
  <c r="G43" i="29"/>
  <c r="F43" i="29"/>
  <c r="E12" i="30" l="1"/>
  <c r="AIM102" i="1"/>
  <c r="ABI101" i="27"/>
  <c r="E13" i="30"/>
  <c r="AIM103" i="1"/>
  <c r="ABI102" i="27"/>
  <c r="D43" i="29"/>
  <c r="M11" i="32" l="1"/>
  <c r="AIK3" i="1"/>
  <c r="AIO3" i="1" l="1"/>
  <c r="AIL3" i="1"/>
  <c r="AIM3" i="1"/>
  <c r="AIL59" i="1"/>
  <c r="AIY59" i="1" l="1"/>
  <c r="AIM59" i="1" s="1"/>
  <c r="AIN59" i="1" s="1"/>
  <c r="UW60" i="21"/>
  <c r="AIL90" i="1"/>
  <c r="ABH89" i="27" l="1"/>
  <c r="D63" i="31"/>
  <c r="D93" i="30" s="1"/>
  <c r="AIN90" i="1"/>
  <c r="AIM90" i="1"/>
  <c r="AFN2" i="1" l="1"/>
  <c r="AIK2" i="1"/>
  <c r="M10" i="32"/>
  <c r="C696" i="16"/>
  <c r="E63" i="31"/>
  <c r="E93" i="30" s="1"/>
  <c r="ABI89" i="27"/>
  <c r="ABJ89" i="27"/>
  <c r="F63" i="31"/>
  <c r="F93" i="30" s="1"/>
  <c r="AIX59" i="1"/>
  <c r="AIO59" i="1" s="1"/>
  <c r="AIQ59" i="1" l="1"/>
  <c r="AIP59" i="1"/>
  <c r="D12" i="35"/>
  <c r="AIL58" i="1"/>
  <c r="AIY58" i="1" s="1"/>
  <c r="AIM58" i="1" s="1"/>
  <c r="AIN58" i="1" s="1"/>
  <c r="AIO2" i="1"/>
  <c r="AIM2" i="1"/>
  <c r="AIL2" i="1"/>
  <c r="D4" i="28"/>
  <c r="UY60" i="21"/>
  <c r="UX60" i="21" s="1"/>
  <c r="AIO90" i="1"/>
  <c r="G16" i="35" s="1"/>
  <c r="E7" i="22" l="1"/>
  <c r="E45" i="29" s="1"/>
  <c r="D9" i="25"/>
  <c r="AJJ64" i="1"/>
  <c r="AJL64" i="1" s="1"/>
  <c r="AIL89" i="1"/>
  <c r="AIJ56" i="1"/>
  <c r="UW59" i="21"/>
  <c r="WJ58" i="1"/>
  <c r="AIL65" i="1"/>
  <c r="ABK89" i="27"/>
  <c r="G63" i="31"/>
  <c r="G93" i="30" s="1"/>
  <c r="VA60" i="21"/>
  <c r="G7" i="22" s="1"/>
  <c r="G45" i="29" s="1"/>
  <c r="AIQ90" i="1"/>
  <c r="UZ60" i="21"/>
  <c r="F7" i="22" s="1"/>
  <c r="F45" i="29" s="1"/>
  <c r="AIP90" i="1"/>
  <c r="AIN65" i="1" l="1"/>
  <c r="AIX58" i="1"/>
  <c r="AIO58" i="1" s="1"/>
  <c r="UW64" i="21"/>
  <c r="AIM89" i="1"/>
  <c r="AIM65" i="1"/>
  <c r="H63" i="31"/>
  <c r="H93" i="30" s="1"/>
  <c r="ABL89" i="27"/>
  <c r="I63" i="31"/>
  <c r="I93" i="30" s="1"/>
  <c r="ABM89" i="27"/>
  <c r="D62" i="31"/>
  <c r="D92" i="30" s="1"/>
  <c r="AIK104" i="1"/>
  <c r="ABH88" i="27"/>
  <c r="AIL92" i="1"/>
  <c r="D65" i="31" s="1"/>
  <c r="D95" i="30" s="1"/>
  <c r="B16" i="25"/>
  <c r="C16" i="25" s="1"/>
  <c r="D7" i="22"/>
  <c r="D45" i="29" s="1"/>
  <c r="UY59" i="21" l="1"/>
  <c r="UX59" i="21" s="1"/>
  <c r="AIP58" i="1"/>
  <c r="UZ59" i="21" s="1"/>
  <c r="AIQ58" i="1"/>
  <c r="VA59" i="21" s="1"/>
  <c r="AIN56" i="1"/>
  <c r="AIO89" i="1"/>
  <c r="F16" i="35" s="1"/>
  <c r="D3" i="28"/>
  <c r="AIO65" i="1"/>
  <c r="C14" i="30"/>
  <c r="D14" i="30" s="1"/>
  <c r="AIL104" i="1"/>
  <c r="ABI88" i="27"/>
  <c r="ABI91" i="27" s="1"/>
  <c r="E62" i="31"/>
  <c r="E92" i="30" s="1"/>
  <c r="AIM92" i="1"/>
  <c r="E65" i="31" s="1"/>
  <c r="E95" i="30" s="1"/>
  <c r="AIN89" i="1"/>
  <c r="ABG103" i="27"/>
  <c r="ABH103" i="27" s="1"/>
  <c r="ABH91" i="27"/>
  <c r="E6" i="22" l="1"/>
  <c r="UV2" i="21"/>
  <c r="D8" i="25"/>
  <c r="D6" i="22" s="1"/>
  <c r="C5" i="30"/>
  <c r="B5" i="31"/>
  <c r="C5" i="29"/>
  <c r="ABJ88" i="27"/>
  <c r="ABJ91" i="27" s="1"/>
  <c r="F62" i="31"/>
  <c r="F92" i="30" s="1"/>
  <c r="AIN92" i="1"/>
  <c r="F65" i="31" s="1"/>
  <c r="F95" i="30" s="1"/>
  <c r="AIQ89" i="1"/>
  <c r="AIQ65" i="1"/>
  <c r="AIN104" i="1"/>
  <c r="F14" i="30" s="1"/>
  <c r="ABK88" i="27"/>
  <c r="G62" i="31"/>
  <c r="G92" i="30" s="1"/>
  <c r="AIO92" i="1"/>
  <c r="AIP89" i="1"/>
  <c r="AIP65" i="1"/>
  <c r="UV57" i="21"/>
  <c r="UY64" i="21"/>
  <c r="G65" i="31" l="1"/>
  <c r="G95" i="30" s="1"/>
  <c r="I16" i="35"/>
  <c r="G6" i="22"/>
  <c r="VA64" i="21"/>
  <c r="ABL88" i="27"/>
  <c r="ABL91" i="27" s="1"/>
  <c r="H62" i="31"/>
  <c r="H92" i="30" s="1"/>
  <c r="AIP92" i="1"/>
  <c r="H65" i="31" s="1"/>
  <c r="H95" i="30" s="1"/>
  <c r="F6" i="22"/>
  <c r="UZ64" i="21"/>
  <c r="UX57" i="21"/>
  <c r="UW57" i="21" s="1"/>
  <c r="UU57" i="21" s="1"/>
  <c r="UW2" i="21"/>
  <c r="VU63" i="21"/>
  <c r="VW63" i="21" s="1"/>
  <c r="UX64" i="21"/>
  <c r="ABJ103" i="27"/>
  <c r="ABK91" i="27"/>
  <c r="I62" i="31"/>
  <c r="I92" i="30" s="1"/>
  <c r="ABM88" i="27"/>
  <c r="ABM91" i="27" s="1"/>
  <c r="AIQ92" i="1"/>
  <c r="I65" i="31" s="1"/>
  <c r="I95" i="30" s="1"/>
  <c r="E44" i="29"/>
  <c r="E47" i="29" s="1"/>
  <c r="E9" i="22"/>
  <c r="F44" i="29" l="1"/>
  <c r="F47" i="29" s="1"/>
  <c r="F9" i="22"/>
  <c r="B15" i="25"/>
  <c r="C15" i="25" s="1"/>
  <c r="D11" i="25"/>
  <c r="G44" i="29"/>
  <c r="G47" i="29" s="1"/>
  <c r="G9" i="22"/>
  <c r="D44" i="29" l="1"/>
  <c r="D47" i="29" s="1"/>
  <c r="D9" i="22"/>
  <c r="E14" i="30"/>
  <c r="AIM104" i="1"/>
  <c r="ABI103" i="2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K4" authorId="0" shapeId="0" xr:uid="{00000000-0006-0000-0000-000001000000}">
      <text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u val="double"/>
            <sz val="11"/>
            <color indexed="81"/>
            <rFont val="Tahoma"/>
            <family val="2"/>
          </rPr>
          <t>EME Engineering Lanka (Pvt) Ltd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Tharanga Priyamal</author>
  </authors>
  <commentList>
    <comment ref="V6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Tharanga Priyamal:</t>
        </r>
        <r>
          <rPr>
            <sz val="9"/>
            <color indexed="81"/>
            <rFont val="Tahoma"/>
            <family val="2"/>
          </rPr>
          <t xml:space="preserve">
After updating following day shared report from Ja-Ela</t>
        </r>
      </text>
    </comment>
    <comment ref="X13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Tharanga Priyamal:</t>
        </r>
        <r>
          <rPr>
            <sz val="9"/>
            <color indexed="81"/>
            <rFont val="Tahoma"/>
            <family val="2"/>
          </rPr>
          <t xml:space="preserve">
Brandix Lingeri Operation is over and no dedicated 1000 CBM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Thusitha Gamage</author>
    <author>Tharanga Priyamal</author>
    <author>Lakshan Punsiri Nakandala</author>
    <author>Anushi Hewamaraba</author>
  </authors>
  <commentList>
    <comment ref="Q2" authorId="0" shapeId="0" xr:uid="{EA044BE0-2FD0-470B-A6F2-5B1C46C7CB96}">
      <text>
        <r>
          <rPr>
            <b/>
            <sz val="9"/>
            <color indexed="81"/>
            <rFont val="Tahoma"/>
            <family val="2"/>
          </rPr>
          <t>Thusitha Gamage:</t>
        </r>
        <r>
          <rPr>
            <sz val="9"/>
            <color indexed="81"/>
            <rFont val="Tahoma"/>
            <family val="2"/>
          </rPr>
          <t xml:space="preserve">
System CBM issue. Checking by ITX</t>
        </r>
      </text>
    </comment>
    <comment ref="D4" authorId="0" shapeId="0" xr:uid="{2BDE62E8-1728-452D-BC98-FBF642BD366F}">
      <text>
        <r>
          <rPr>
            <b/>
            <sz val="9"/>
            <color indexed="81"/>
            <rFont val="Tahoma"/>
            <family val="2"/>
          </rPr>
          <t>Thusitha Gamage:</t>
        </r>
        <r>
          <rPr>
            <sz val="9"/>
            <color indexed="81"/>
            <rFont val="Tahoma"/>
            <family val="2"/>
          </rPr>
          <t xml:space="preserve">
dedicated 1000CBM for Brandix Lingerie operation and 500CBM for Reima operation</t>
        </r>
      </text>
    </comment>
    <comment ref="BS4" authorId="1" shapeId="0" xr:uid="{518BE8D1-7FBF-4D85-A53C-02E34ACD163C}">
      <text>
        <r>
          <rPr>
            <b/>
            <sz val="9"/>
            <color indexed="81"/>
            <rFont val="Tahoma"/>
            <family val="2"/>
          </rPr>
          <t>Tharanga Priyamal:</t>
        </r>
        <r>
          <rPr>
            <sz val="9"/>
            <color indexed="81"/>
            <rFont val="Tahoma"/>
            <family val="2"/>
          </rPr>
          <t xml:space="preserve">
Brandix Lingeri Operation is over and no dedicated 1000 CBM</t>
        </r>
      </text>
    </comment>
    <comment ref="AZ5" authorId="1" shapeId="0" xr:uid="{B1DF1BFB-EFAA-46F1-82B7-72B4057B55B5}">
      <text>
        <r>
          <rPr>
            <b/>
            <sz val="9"/>
            <color indexed="81"/>
            <rFont val="Tahoma"/>
            <family val="2"/>
          </rPr>
          <t>Tharanga Priyamal:</t>
        </r>
        <r>
          <rPr>
            <sz val="9"/>
            <color indexed="81"/>
            <rFont val="Tahoma"/>
            <family val="2"/>
          </rPr>
          <t xml:space="preserve">
After updating following day shared report from Ja-Ela</t>
        </r>
      </text>
    </comment>
    <comment ref="ABN9" authorId="2" shapeId="0" xr:uid="{4CC08D39-82FC-4371-98CA-D40068192DEC}">
      <text>
        <r>
          <rPr>
            <b/>
            <sz val="9"/>
            <color indexed="81"/>
            <rFont val="Tahoma"/>
            <family val="2"/>
          </rPr>
          <t xml:space="preserve">Anushi Hewamaraba:
Changed the data on 17th of May 2021. Details given by Sriyantha sanjeewa (Nestle)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K57" authorId="3" shapeId="0" xr:uid="{0B1BFC74-F098-43BF-BD12-0FFE0E1F7EEA}">
      <text>
        <r>
          <rPr>
            <b/>
            <sz val="9"/>
            <color indexed="81"/>
            <rFont val="Tahoma"/>
            <family val="2"/>
          </rPr>
          <t>Anushi Hewamaraba:</t>
        </r>
        <r>
          <rPr>
            <sz val="9"/>
            <color indexed="81"/>
            <rFont val="Tahoma"/>
            <family val="2"/>
          </rPr>
          <t xml:space="preserve">
Unoccupied - honeycomb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Thusitha Gamage</author>
    <author>Tharanga Priyamal</author>
  </authors>
  <commentList>
    <comment ref="B2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Thusitha Gamage:</t>
        </r>
        <r>
          <rPr>
            <sz val="9"/>
            <color indexed="81"/>
            <rFont val="Tahoma"/>
            <family val="2"/>
          </rPr>
          <t xml:space="preserve">
dedicated 1000CBM for Brandix Lingerie operation and 500CBM for Reima operation</t>
        </r>
      </text>
    </comment>
    <comment ref="B69" authorId="1" shapeId="0" xr:uid="{00000000-0006-0000-0B00-000002000000}">
      <text>
        <r>
          <rPr>
            <b/>
            <sz val="9"/>
            <color indexed="81"/>
            <rFont val="Tahoma"/>
            <family val="2"/>
          </rPr>
          <t>Tharanga Priyamal:</t>
        </r>
        <r>
          <rPr>
            <sz val="9"/>
            <color indexed="81"/>
            <rFont val="Tahoma"/>
            <family val="2"/>
          </rPr>
          <t xml:space="preserve">
Brandix Lingeri Operation is over and no dedicated 1000 CBM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Thusitha Gamage</author>
    <author>Tharanga Priyamal</author>
    <author>Lakshan Punsiri Nakandala</author>
    <author>Anushi Hewamaraba</author>
  </authors>
  <commentList>
    <comment ref="Q2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Thusitha Gamage:</t>
        </r>
        <r>
          <rPr>
            <sz val="9"/>
            <color indexed="81"/>
            <rFont val="Tahoma"/>
            <family val="2"/>
          </rPr>
          <t xml:space="preserve">
System CBM issue. Checking by ITX</t>
        </r>
      </text>
    </comment>
    <comment ref="D4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Thusitha Gamage:</t>
        </r>
        <r>
          <rPr>
            <sz val="9"/>
            <color indexed="81"/>
            <rFont val="Tahoma"/>
            <family val="2"/>
          </rPr>
          <t xml:space="preserve">
dedicated 1000CBM for Brandix Lingerie operation and 500CBM for Reima operation</t>
        </r>
      </text>
    </comment>
    <comment ref="BS4" authorId="1" shapeId="0" xr:uid="{00000000-0006-0000-0800-000003000000}">
      <text>
        <r>
          <rPr>
            <b/>
            <sz val="9"/>
            <color indexed="81"/>
            <rFont val="Tahoma"/>
            <family val="2"/>
          </rPr>
          <t>Tharanga Priyamal:</t>
        </r>
        <r>
          <rPr>
            <sz val="9"/>
            <color indexed="81"/>
            <rFont val="Tahoma"/>
            <family val="2"/>
          </rPr>
          <t xml:space="preserve">
Brandix Lingeri Operation is over and no dedicated 1000 CBM</t>
        </r>
      </text>
    </comment>
    <comment ref="AZ5" authorId="1" shapeId="0" xr:uid="{00000000-0006-0000-0800-000004000000}">
      <text>
        <r>
          <rPr>
            <b/>
            <sz val="9"/>
            <color indexed="81"/>
            <rFont val="Tahoma"/>
            <family val="2"/>
          </rPr>
          <t>Tharanga Priyamal:</t>
        </r>
        <r>
          <rPr>
            <sz val="9"/>
            <color indexed="81"/>
            <rFont val="Tahoma"/>
            <family val="2"/>
          </rPr>
          <t xml:space="preserve">
After updating following day shared report from Ja-Ela</t>
        </r>
      </text>
    </comment>
    <comment ref="AIR9" authorId="2" shapeId="0" xr:uid="{00000000-0006-0000-0800-000005000000}">
      <text>
        <r>
          <rPr>
            <b/>
            <sz val="9"/>
            <color indexed="81"/>
            <rFont val="Tahoma"/>
            <family val="2"/>
          </rPr>
          <t xml:space="preserve">Anushi Hewamaraba:
Changed the data on 17th of May 2021. Details given by Sriyantha sanjeewa (Nestle)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O57" authorId="3" shapeId="0" xr:uid="{00000000-0006-0000-0800-000006000000}">
      <text>
        <r>
          <rPr>
            <b/>
            <sz val="9"/>
            <color indexed="81"/>
            <rFont val="Tahoma"/>
            <family val="2"/>
          </rPr>
          <t>Anushi Hewamaraba:</t>
        </r>
        <r>
          <rPr>
            <sz val="9"/>
            <color indexed="81"/>
            <rFont val="Tahoma"/>
            <family val="2"/>
          </rPr>
          <t xml:space="preserve">
Unoccupied - honeycomb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Anushi Hewamaraba</author>
    <author>Thusitha Gamage</author>
    <author>Tharanga Priyamal</author>
  </authors>
  <commentList>
    <comment ref="UX1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Anushi Hewamaraba:</t>
        </r>
        <r>
          <rPr>
            <sz val="9"/>
            <color indexed="81"/>
            <rFont val="Tahoma"/>
            <family val="2"/>
          </rPr>
          <t xml:space="preserve">
do not consider this columns</t>
        </r>
      </text>
    </comment>
    <comment ref="Q2" authorId="1" shapeId="0" xr:uid="{00000000-0006-0000-0D00-000002000000}">
      <text>
        <r>
          <rPr>
            <b/>
            <sz val="9"/>
            <color indexed="81"/>
            <rFont val="Tahoma"/>
            <family val="2"/>
          </rPr>
          <t>Thusitha Gamage:</t>
        </r>
        <r>
          <rPr>
            <sz val="9"/>
            <color indexed="81"/>
            <rFont val="Tahoma"/>
            <family val="2"/>
          </rPr>
          <t xml:space="preserve">
System CBM issue. Checking by ITX</t>
        </r>
      </text>
    </comment>
    <comment ref="D4" authorId="1" shapeId="0" xr:uid="{00000000-0006-0000-0D00-000003000000}">
      <text>
        <r>
          <rPr>
            <b/>
            <sz val="9"/>
            <color indexed="81"/>
            <rFont val="Tahoma"/>
            <family val="2"/>
          </rPr>
          <t>Thusitha Gamage:</t>
        </r>
        <r>
          <rPr>
            <sz val="9"/>
            <color indexed="81"/>
            <rFont val="Tahoma"/>
            <family val="2"/>
          </rPr>
          <t xml:space="preserve">
dedicated 1000CBM for Brandix Lingerie operation and 500CBM for Reima operation</t>
        </r>
      </text>
    </comment>
    <comment ref="BS4" authorId="2" shapeId="0" xr:uid="{00000000-0006-0000-0D00-000004000000}">
      <text>
        <r>
          <rPr>
            <b/>
            <sz val="9"/>
            <color indexed="81"/>
            <rFont val="Tahoma"/>
            <family val="2"/>
          </rPr>
          <t>Tharanga Priyamal:</t>
        </r>
        <r>
          <rPr>
            <sz val="9"/>
            <color indexed="81"/>
            <rFont val="Tahoma"/>
            <family val="2"/>
          </rPr>
          <t xml:space="preserve">
Brandix Lingeri Operation is over and no dedicated 1000 CBM</t>
        </r>
      </text>
    </comment>
    <comment ref="AZ5" authorId="2" shapeId="0" xr:uid="{00000000-0006-0000-0D00-000005000000}">
      <text>
        <r>
          <rPr>
            <b/>
            <sz val="9"/>
            <color indexed="81"/>
            <rFont val="Tahoma"/>
            <family val="2"/>
          </rPr>
          <t>Tharanga Priyamal:</t>
        </r>
        <r>
          <rPr>
            <sz val="9"/>
            <color indexed="81"/>
            <rFont val="Tahoma"/>
            <family val="2"/>
          </rPr>
          <t xml:space="preserve">
After updating following day shared report from Ja-Ela</t>
        </r>
      </text>
    </comment>
    <comment ref="VC6" authorId="0" shapeId="0" xr:uid="{00000000-0006-0000-0D00-000006000000}">
      <text>
        <r>
          <rPr>
            <b/>
            <sz val="9"/>
            <color indexed="81"/>
            <rFont val="Tahoma"/>
            <family val="2"/>
          </rPr>
          <t>Anushi Hewamaraba:</t>
        </r>
        <r>
          <rPr>
            <sz val="9"/>
            <color indexed="81"/>
            <rFont val="Tahoma"/>
            <family val="2"/>
          </rPr>
          <t xml:space="preserve">
Changed the data on 17th of May 2021. Details given by Sriyantha sanjeewa (Nestle) </t>
        </r>
      </text>
    </comment>
    <comment ref="UW58" authorId="0" shapeId="0" xr:uid="{00000000-0006-0000-0D00-000007000000}">
      <text>
        <r>
          <rPr>
            <b/>
            <sz val="9"/>
            <color indexed="81"/>
            <rFont val="Tahoma"/>
            <family val="2"/>
          </rPr>
          <t>Anushi Hewamaraba:</t>
        </r>
        <r>
          <rPr>
            <sz val="9"/>
            <color indexed="81"/>
            <rFont val="Tahoma"/>
            <family val="2"/>
          </rPr>
          <t xml:space="preserve">
Based on client level CBM inventory report</t>
        </r>
      </text>
    </comment>
    <comment ref="UX58" authorId="0" shapeId="0" xr:uid="{00000000-0006-0000-0D00-000008000000}">
      <text>
        <r>
          <rPr>
            <b/>
            <sz val="9"/>
            <color indexed="81"/>
            <rFont val="Tahoma"/>
            <family val="2"/>
          </rPr>
          <t>Anushi Hewamaraba:</t>
        </r>
        <r>
          <rPr>
            <sz val="9"/>
            <color indexed="81"/>
            <rFont val="Tahoma"/>
            <family val="2"/>
          </rPr>
          <t xml:space="preserve">
On hand inventory</t>
        </r>
      </text>
    </comment>
  </commentList>
</comments>
</file>

<file path=xl/sharedStrings.xml><?xml version="1.0" encoding="utf-8"?>
<sst xmlns="http://schemas.openxmlformats.org/spreadsheetml/2006/main" count="2527" uniqueCount="499">
  <si>
    <t>Wh Id</t>
  </si>
  <si>
    <t>Name</t>
  </si>
  <si>
    <t>Cbm</t>
  </si>
  <si>
    <t>NUGE</t>
  </si>
  <si>
    <t>MAS ACTIVE OTHER OPERATION</t>
  </si>
  <si>
    <t>EDOTCO SERVICES LANKA(PVT)LTD</t>
  </si>
  <si>
    <t>MAS KREEDA CENTRALIZED TRIMS</t>
  </si>
  <si>
    <t>NORWOOD FASHIONS (PVT) LTD</t>
  </si>
  <si>
    <t>FOUNDATION GARMENTS (PVT) LTD</t>
  </si>
  <si>
    <t>BRANDIX ESSENTIALS LIMITED</t>
  </si>
  <si>
    <t>ARUGAMBE BEACHWEAR (PVT) LTD</t>
  </si>
  <si>
    <t>ARCADIAN SOURCING (PVT) LIMITED</t>
  </si>
  <si>
    <t>P D K HOLDINGS (PVT) LTD</t>
  </si>
  <si>
    <t>VICUNHA NETHERLANDS B.V.</t>
  </si>
  <si>
    <t>CEYLON NEWS PAPERS PVT LTD</t>
  </si>
  <si>
    <t>GLOBAL POWER SOURCE (PRIVATE) LTD</t>
  </si>
  <si>
    <t>GLOBAL POWER SOURCE (PVT) LTD</t>
  </si>
  <si>
    <t>SILKOT TRADING COMPANY</t>
  </si>
  <si>
    <t>REGAL CALIBRE LK LTD.</t>
  </si>
  <si>
    <t>EXPOLANKA FREIGHT (PVT)LTD</t>
  </si>
  <si>
    <t>JAT HOLDING</t>
  </si>
  <si>
    <t>RAMADA COLOMBO</t>
  </si>
  <si>
    <t>BRANDIX APPAREL LIMITED</t>
  </si>
  <si>
    <t>EMJAY INTERNATIONAL (PVT) LTD</t>
  </si>
  <si>
    <t>DIALOG DEVICE TRADING (PVT)LTD</t>
  </si>
  <si>
    <t>MAS ACTIVE CENTRALIZED OPERATION</t>
  </si>
  <si>
    <t>SINO LANKA COMPANY</t>
  </si>
  <si>
    <t>MAS ACTIVE CENTRALIZED TRIMS</t>
  </si>
  <si>
    <t>NORWOOD FASHION  PVT LTD.</t>
  </si>
  <si>
    <t>SPERRYS COMMERCIAL EQUIPMENT (PVT) LTD</t>
  </si>
  <si>
    <t>EDOTCO SERVICES LANKA (PVT) LTD</t>
  </si>
  <si>
    <t>SPERRYS COMMERCIAL EQPT (PVT) LTD</t>
  </si>
  <si>
    <t>CHEMISPHERE</t>
  </si>
  <si>
    <t>JAT HOLDINGS (PVT) LTD</t>
  </si>
  <si>
    <t>MAS Intimates (Pvt) Ltd</t>
  </si>
  <si>
    <t>S.A.M. &amp; COMPANY</t>
  </si>
  <si>
    <t>SINO LANKA CONSTRUCTION (PVT) LTD</t>
  </si>
  <si>
    <t>MAS KREEDA CENTRALIZED OPERATION</t>
  </si>
  <si>
    <t>ARUGAM BAY BEACHWEAR (PVT) LTD</t>
  </si>
  <si>
    <t>Brandix Apparel Ltd. - India</t>
  </si>
  <si>
    <t>Jan</t>
  </si>
  <si>
    <t>Monthly Avg</t>
  </si>
  <si>
    <t>Occupancy %</t>
  </si>
  <si>
    <t>Sellable</t>
  </si>
  <si>
    <t>DC</t>
  </si>
  <si>
    <t>Capacity</t>
  </si>
  <si>
    <t>LPPL</t>
  </si>
  <si>
    <t>CBM</t>
  </si>
  <si>
    <t>Nuge Rd</t>
  </si>
  <si>
    <t>Ranal's confirmation mail on 10/01/2019 9previously 8000)</t>
  </si>
  <si>
    <t>EGF</t>
  </si>
  <si>
    <t>Damayantha - Email on 07-01-2019 (previously - 12,300)</t>
  </si>
  <si>
    <t>Ja Ela</t>
  </si>
  <si>
    <t>Thisitha - Again taken as 2000 as 1800 is sellable which is 90% of 2000 (previously - 1800)</t>
  </si>
  <si>
    <t>UK</t>
  </si>
  <si>
    <t>SqFT</t>
  </si>
  <si>
    <t>FEB</t>
  </si>
  <si>
    <t>MAR</t>
  </si>
  <si>
    <t>Occupancy Level (%)</t>
  </si>
  <si>
    <t>Sellable Space</t>
  </si>
  <si>
    <t>SqFt</t>
  </si>
  <si>
    <t>Sum of Capacity</t>
  </si>
  <si>
    <t>measurement</t>
  </si>
  <si>
    <t>Orugodawatta DC</t>
  </si>
  <si>
    <t>Peliyagoda DC</t>
  </si>
  <si>
    <t xml:space="preserve">Expo Global Freeport </t>
  </si>
  <si>
    <t>Hirdaramani Knit Client Warehouse</t>
  </si>
  <si>
    <t xml:space="preserve">Hirdaramani Woven Client Warehouse </t>
  </si>
  <si>
    <t xml:space="preserve">Orugodawatta DC Cold Room </t>
  </si>
  <si>
    <t>Sum of Utilization</t>
  </si>
  <si>
    <t>Row Labels</t>
  </si>
  <si>
    <t xml:space="preserve">Capacity </t>
  </si>
  <si>
    <t xml:space="preserve">Occupancy </t>
  </si>
  <si>
    <t>Kandana DC</t>
  </si>
  <si>
    <t>Grand Total</t>
  </si>
  <si>
    <t>Sum of Unoccupied Space</t>
  </si>
  <si>
    <t xml:space="preserve"> </t>
  </si>
  <si>
    <t>Sum of Actual Sellable</t>
  </si>
  <si>
    <t>Utilization %</t>
  </si>
  <si>
    <t xml:space="preserve">Capacity   </t>
  </si>
  <si>
    <t xml:space="preserve">Occupancy  </t>
  </si>
  <si>
    <t>Main DC</t>
  </si>
  <si>
    <t>BIPL</t>
  </si>
  <si>
    <t>Date</t>
  </si>
  <si>
    <t xml:space="preserve"> Nuge Rd</t>
  </si>
  <si>
    <t xml:space="preserve"> EGF</t>
  </si>
  <si>
    <t xml:space="preserve">Ja Ela  </t>
  </si>
  <si>
    <t xml:space="preserve"> LPPL</t>
  </si>
  <si>
    <t>(blank)</t>
  </si>
  <si>
    <t>Revenue</t>
  </si>
  <si>
    <t>Net Profit</t>
  </si>
  <si>
    <t>Cumulative Revenue</t>
  </si>
  <si>
    <t>Cumulative NP</t>
  </si>
  <si>
    <t>Revenue %</t>
  </si>
  <si>
    <t>NP %</t>
  </si>
  <si>
    <t>30/10/2018</t>
  </si>
  <si>
    <t>31/10/2018</t>
  </si>
  <si>
    <t>13/11/2018</t>
  </si>
  <si>
    <t>14/11/2018</t>
  </si>
  <si>
    <t>16/11/2018</t>
  </si>
  <si>
    <t>19/11/2018</t>
  </si>
  <si>
    <t>21/11/2018</t>
  </si>
  <si>
    <t>26/11/2018</t>
  </si>
  <si>
    <t>Change facility names</t>
  </si>
  <si>
    <t>Occupancy</t>
  </si>
  <si>
    <t>Estimated Unoccupied CBM</t>
  </si>
  <si>
    <t>Forecasted occupancy CBM</t>
  </si>
  <si>
    <t>Sellable CBM</t>
  </si>
  <si>
    <t>Sqft</t>
  </si>
  <si>
    <t>Verbally confirmation</t>
  </si>
  <si>
    <t>*Changed demand fluctualtion and honeycomb to 92% on 2020.07.08 with Tusitha's advise</t>
  </si>
  <si>
    <t xml:space="preserve">*2020.09.16 Thusitha advise to add 500 cbm </t>
  </si>
  <si>
    <t>Sachini</t>
  </si>
  <si>
    <t>* Chamika confirm</t>
  </si>
  <si>
    <t>Tharindu</t>
  </si>
  <si>
    <t>Damayantha confirms 1800 CBM - 13.06.2019</t>
  </si>
  <si>
    <t>*As per the instruction received from Roshan on 2021.07.19 changed volume capacity 9500 to 10,250 CBM</t>
  </si>
  <si>
    <t>Lakshan confirmed new wh capacity as 1000 CBM (8500+1000)</t>
  </si>
  <si>
    <t xml:space="preserve">Kandana </t>
  </si>
  <si>
    <t>Binara</t>
  </si>
  <si>
    <t>* Confirmation by Mr. Damayantha &amp; Thusitha 19/02/2021</t>
  </si>
  <si>
    <t>Kandana DC - Main WH</t>
  </si>
  <si>
    <t>Sq.ft</t>
  </si>
  <si>
    <t>Nestle - Main DC</t>
  </si>
  <si>
    <t>Binara confirmed the capacity as 1700CBM</t>
  </si>
  <si>
    <t>From WH Uti. Report</t>
  </si>
  <si>
    <t>2020.05.28 Change all to CBM Instead of sq. ft with confirmation from thusitha</t>
  </si>
  <si>
    <t>Kandana DC -  WH No 02</t>
  </si>
  <si>
    <t>Kandana DC - Chemical store</t>
  </si>
  <si>
    <t>Sq. ft</t>
  </si>
  <si>
    <t>*From Damayantha Sir's mail on 2019.11.26</t>
  </si>
  <si>
    <t>Nestle</t>
  </si>
  <si>
    <t>No of pallets</t>
  </si>
  <si>
    <t>*Chaned oon 13th Julyy 2020 with request of thilini</t>
  </si>
  <si>
    <t>*Adjusted to 1350 with Thilini's request on 2020.07.20</t>
  </si>
  <si>
    <t>As requested by Ranal to discuss with thusitha about the BIPL, Capacity adjusted as 1500 after discussion had with Thusitha - 2019.11.18</t>
  </si>
  <si>
    <t>WH occupancy - Trend</t>
  </si>
  <si>
    <t>Brandix Lingeri - committed 1000 cbm</t>
  </si>
  <si>
    <t>Riema - Committed 500 cbm</t>
  </si>
  <si>
    <t>Inventory Volume on 16/01/2019</t>
  </si>
  <si>
    <t>Sellable Volume</t>
  </si>
  <si>
    <t>9000 CBM</t>
  </si>
  <si>
    <t>8500 CBM</t>
  </si>
  <si>
    <t>18000 CBM</t>
  </si>
  <si>
    <t>2000 CBM</t>
  </si>
  <si>
    <t>65000 SQFT</t>
  </si>
  <si>
    <t>Nestle DC</t>
  </si>
  <si>
    <t>\</t>
  </si>
  <si>
    <t xml:space="preserve">      </t>
  </si>
  <si>
    <t>*As per the instruction received from Thusitha on 2021.06.15 changed fluctuation as 10%</t>
  </si>
  <si>
    <t>*As per the instruction received from Thusitha on 2022.02.07 changed fluctuation as 93% LPPL &amp; Other DC 97%</t>
  </si>
  <si>
    <t>Summary</t>
  </si>
  <si>
    <t>Other DC</t>
  </si>
  <si>
    <t xml:space="preserve">*As per the instruction received from Thusitha on 2021.06.10 changed fluctuation as 5% </t>
  </si>
  <si>
    <t>Opportunity Cost For the Day (LKR)</t>
  </si>
  <si>
    <t>Site</t>
  </si>
  <si>
    <t>Measurement</t>
  </si>
  <si>
    <t xml:space="preserve">Cargo volume Capacity </t>
  </si>
  <si>
    <t>On hand inventory</t>
  </si>
  <si>
    <t>Unoccupied Space</t>
  </si>
  <si>
    <t>For demand fluctuations + Honeycomb</t>
  </si>
  <si>
    <t>Actual Sellable</t>
  </si>
  <si>
    <t>*As per the instruction received from Thusitha on 2020.08.26 changed fluctuation % to 5%</t>
  </si>
  <si>
    <t>*As per the instruction received from Thusitha on 2020.09.16 changed fluctuation % to 7%</t>
  </si>
  <si>
    <t>*As per the instruction received from Thusitha on 2020.12.30 changed fluctuation % to 10%(LPPL Only)</t>
  </si>
  <si>
    <t>Total locations</t>
  </si>
  <si>
    <t>No of locations</t>
  </si>
  <si>
    <t>Empty location</t>
  </si>
  <si>
    <t>CBM per location</t>
  </si>
  <si>
    <t>Dash board</t>
  </si>
  <si>
    <t>Can apply  for empty rack locations</t>
  </si>
  <si>
    <t>Total</t>
  </si>
  <si>
    <t>Pallets</t>
  </si>
  <si>
    <t>Main DC - Pick reserve for quality purpose</t>
  </si>
  <si>
    <t>Main DC Total</t>
  </si>
  <si>
    <t>Notes: 1.  Orugodawatta - For demand fluctuations + Honeycomb (10%)</t>
  </si>
  <si>
    <r>
      <t>-</t>
    </r>
    <r>
      <rPr>
        <sz val="7"/>
        <color rgb="FF000000"/>
        <rFont val="Times New Roman"/>
        <family val="1"/>
      </rPr>
      <t xml:space="preserve">          </t>
    </r>
    <r>
      <rPr>
        <sz val="11"/>
        <color rgb="FF000000"/>
        <rFont val="Calibri"/>
        <family val="2"/>
        <scheme val="minor"/>
      </rPr>
      <t>Orugodawatta DC capacity is inclusive of the newly added office space equivalent to 500 CBM which is presently utilized by VAS operation</t>
    </r>
  </si>
  <si>
    <r>
      <t>-</t>
    </r>
    <r>
      <rPr>
        <sz val="7"/>
        <color rgb="FF000000"/>
        <rFont val="Times New Roman"/>
        <family val="1"/>
      </rPr>
      <t xml:space="preserve">          </t>
    </r>
    <r>
      <rPr>
        <sz val="11"/>
        <color rgb="FF000000"/>
        <rFont val="Calibri"/>
        <family val="2"/>
        <scheme val="minor"/>
      </rPr>
      <t>Balance capacity is used for existing main clients such as Casualline which we do not have a volume forecast</t>
    </r>
  </si>
  <si>
    <t>2.  Other DC's - For demand fluctuations + Honeycomb (7%)</t>
  </si>
  <si>
    <r>
      <t>-</t>
    </r>
    <r>
      <rPr>
        <sz val="7"/>
        <color rgb="FFFF0000"/>
        <rFont val="Times New Roman"/>
        <family val="1"/>
      </rPr>
      <t xml:space="preserve">          </t>
    </r>
    <r>
      <rPr>
        <sz val="11"/>
        <color rgb="FFFF0000"/>
        <rFont val="Calibri"/>
        <family val="2"/>
        <scheme val="minor"/>
      </rPr>
      <t>Since MAS Intimates related warehousing &amp; VAS operations were committed only till 31</t>
    </r>
    <r>
      <rPr>
        <vertAlign val="superscript"/>
        <sz val="11"/>
        <color rgb="FFFF0000"/>
        <rFont val="Calibri"/>
        <family val="2"/>
        <scheme val="minor"/>
      </rPr>
      <t>st</t>
    </r>
    <r>
      <rPr>
        <sz val="11"/>
        <color rgb="FFFF0000"/>
        <rFont val="Calibri"/>
        <family val="2"/>
        <scheme val="minor"/>
      </rPr>
      <t xml:space="preserve"> March; as contingency sellable space highlighted as building a sales pipeline also take considerable time </t>
    </r>
  </si>
  <si>
    <t>More than 6 months old stock</t>
  </si>
  <si>
    <t>CBM (&gt;6 months age)</t>
  </si>
  <si>
    <t>Site Inventory CBM</t>
  </si>
  <si>
    <t>CBM (&gt;6 months age) % over Total Inventory CBM</t>
  </si>
  <si>
    <t>DC Occupancy % with Honeycomb</t>
  </si>
  <si>
    <t>Sellable Space (CBM)</t>
  </si>
  <si>
    <t>Expo Global Freeport</t>
  </si>
  <si>
    <t xml:space="preserve">Top 3 clients in CBM &gt;6 month age </t>
  </si>
  <si>
    <t>Client wise</t>
  </si>
  <si>
    <t>Total Inventory CBM</t>
  </si>
  <si>
    <t>%</t>
  </si>
  <si>
    <t>Hirdaramani</t>
  </si>
  <si>
    <t>Omega Line</t>
  </si>
  <si>
    <t>Vichuna</t>
  </si>
  <si>
    <t>MAS Kreeda</t>
  </si>
  <si>
    <t>Edotco</t>
  </si>
  <si>
    <t>Linea Aqua</t>
  </si>
  <si>
    <t>Casualine</t>
  </si>
  <si>
    <t>Hemas</t>
  </si>
  <si>
    <t>Foundation Garments</t>
  </si>
  <si>
    <t>MAS Active</t>
  </si>
  <si>
    <r>
      <rPr>
        <b/>
        <sz val="11"/>
        <color theme="1"/>
        <rFont val="Calibri"/>
        <family val="2"/>
        <scheme val="minor"/>
      </rPr>
      <t>LPPL:-</t>
    </r>
    <r>
      <rPr>
        <sz val="11"/>
        <color theme="1"/>
        <rFont val="Calibri"/>
        <family val="2"/>
        <scheme val="minor"/>
      </rPr>
      <t xml:space="preserve"> Total Un-Occupied Space is consumed for honeycomb effect (CBM utilization per location is avg. 87%)</t>
    </r>
  </si>
  <si>
    <t>EGF:-</t>
  </si>
  <si>
    <t>Forecasted volume (CBM)</t>
  </si>
  <si>
    <t>Allocated space for future volume (CBM)</t>
  </si>
  <si>
    <t>MAS ACTIVE (PVT) LTD-DP OPERATION</t>
  </si>
  <si>
    <t>BRANDIX LiDL (Only has the min. billing commitment)</t>
  </si>
  <si>
    <t>CHEMICAL CUSTOMERS (Wilhelmsen)</t>
  </si>
  <si>
    <t>Benji</t>
  </si>
  <si>
    <t>MAS RM Advancing Project</t>
  </si>
  <si>
    <t>Total CBM</t>
  </si>
  <si>
    <t xml:space="preserve">Nestle </t>
  </si>
  <si>
    <t xml:space="preserve">On Hand Inventory </t>
  </si>
  <si>
    <t>Total bin</t>
  </si>
  <si>
    <t>pallet in slip sheets</t>
  </si>
  <si>
    <t>pallet in Rack</t>
  </si>
  <si>
    <t>on woodn plt</t>
  </si>
  <si>
    <t>Warehouse</t>
  </si>
  <si>
    <t>OFC</t>
  </si>
  <si>
    <t>PFC</t>
  </si>
  <si>
    <t>KFC</t>
  </si>
  <si>
    <t>EGF-Knit</t>
  </si>
  <si>
    <t>EGF-Woven</t>
  </si>
  <si>
    <t>OFC - CR</t>
  </si>
  <si>
    <t>Year</t>
  </si>
  <si>
    <t>Week #</t>
  </si>
  <si>
    <t>Values</t>
  </si>
  <si>
    <t xml:space="preserve"> Expo Global Freeport </t>
  </si>
  <si>
    <t xml:space="preserve"> Kandana DC</t>
  </si>
  <si>
    <t xml:space="preserve"> Orugodawatta DC</t>
  </si>
  <si>
    <t xml:space="preserve"> Orugodawatta DC Cold Room </t>
  </si>
  <si>
    <t xml:space="preserve"> Peliyagoda DC</t>
  </si>
  <si>
    <t>0</t>
  </si>
  <si>
    <t>Sum of EGF</t>
  </si>
  <si>
    <t>Month</t>
  </si>
  <si>
    <t>2020-08</t>
  </si>
  <si>
    <t>2020-09</t>
  </si>
  <si>
    <t>2020-10</t>
  </si>
  <si>
    <t>2020- 11</t>
  </si>
  <si>
    <t>2020- 12</t>
  </si>
  <si>
    <t>2021- 01</t>
  </si>
  <si>
    <t>2021- 02</t>
  </si>
  <si>
    <t>2021- 03</t>
  </si>
  <si>
    <t>2021- 04</t>
  </si>
  <si>
    <t>2021- 05</t>
  </si>
  <si>
    <t>2021- 06</t>
  </si>
  <si>
    <t>2021- 07</t>
  </si>
  <si>
    <t>2021- 08</t>
  </si>
  <si>
    <t>2021- 09</t>
  </si>
  <si>
    <t>2021- 10</t>
  </si>
  <si>
    <t>2021- 11</t>
  </si>
  <si>
    <t>2021- 12</t>
  </si>
  <si>
    <t>2022- 01</t>
  </si>
  <si>
    <t>2022- 02</t>
  </si>
  <si>
    <t>2022- 03</t>
  </si>
  <si>
    <t>2022- 04</t>
  </si>
  <si>
    <t>2022- 05</t>
  </si>
  <si>
    <t>(Multiple Items)</t>
  </si>
  <si>
    <t>2022- 06</t>
  </si>
  <si>
    <t>2022- 07</t>
  </si>
  <si>
    <t>2022- 08</t>
  </si>
  <si>
    <t>2022- 09</t>
  </si>
  <si>
    <t>2022- 10</t>
  </si>
  <si>
    <t>2022- 11</t>
  </si>
  <si>
    <t>2022- 12</t>
  </si>
  <si>
    <t>2023- 01</t>
  </si>
  <si>
    <t>OLD DATA available in
 "All WH" sheet 
A1:AIH7</t>
  </si>
  <si>
    <t>Dear All,</t>
  </si>
  <si>
    <r>
      <t>Note</t>
    </r>
    <r>
      <rPr>
        <b/>
        <sz val="11"/>
        <color theme="8" tint="-0.499984740745262"/>
        <rFont val="Calibri"/>
        <family val="2"/>
      </rPr>
      <t xml:space="preserve">: Sellable Space Index = </t>
    </r>
  </si>
  <si>
    <t xml:space="preserve"> ( Available Sellable Space/ Total Sellable Space)</t>
  </si>
  <si>
    <t>Occupied CBM with Honeycomb</t>
  </si>
  <si>
    <t>Cold Room Orugodawatta DC</t>
  </si>
  <si>
    <r>
      <t>Dear All,</t>
    </r>
    <r>
      <rPr>
        <sz val="11"/>
        <color rgb="FF000000"/>
        <rFont val="Calibri"/>
        <family val="2"/>
      </rPr>
      <t> </t>
    </r>
  </si>
  <si>
    <t>Please find the DC level utilization as at  </t>
  </si>
  <si>
    <t xml:space="preserve">( Available Sellable Space/ Total Sellable Space). </t>
  </si>
  <si>
    <t xml:space="preserve">Please find the DC level utilization as at </t>
  </si>
  <si>
    <r>
      <t>Note</t>
    </r>
    <r>
      <rPr>
        <b/>
        <sz val="11"/>
        <color rgb="FF1F497D"/>
        <rFont val="Calibri"/>
        <family val="2"/>
      </rPr>
      <t xml:space="preserve">: Sellable Space Index = </t>
    </r>
  </si>
  <si>
    <t>Below table shows the details of over 6 months stock ageing analysis done for the inventory as at .</t>
  </si>
  <si>
    <t>CBM
(&gt;6 months age)</t>
  </si>
  <si>
    <r>
      <t>Top 3 clients in CBM &gt;6 month age</t>
    </r>
    <r>
      <rPr>
        <b/>
        <sz val="11"/>
        <color rgb="FF000000"/>
        <rFont val="Calibri"/>
        <family val="2"/>
      </rPr>
      <t> </t>
    </r>
  </si>
  <si>
    <r>
      <t>Note: This considers cargo only within our DCs.</t>
    </r>
    <r>
      <rPr>
        <sz val="11"/>
        <color rgb="FF000000"/>
        <rFont val="Calibri"/>
        <family val="2"/>
      </rPr>
      <t> </t>
    </r>
  </si>
  <si>
    <r>
      <t> </t>
    </r>
    <r>
      <rPr>
        <sz val="11"/>
        <color rgb="FF000000"/>
        <rFont val="Calibri"/>
        <family val="2"/>
      </rPr>
      <t> </t>
    </r>
  </si>
  <si>
    <t xml:space="preserve">Further, please find the DC level utilization as at </t>
  </si>
  <si>
    <t>Updates</t>
  </si>
  <si>
    <t>Updated Date</t>
  </si>
  <si>
    <t>Site Code</t>
  </si>
  <si>
    <t>Sites</t>
  </si>
  <si>
    <t>UOM</t>
  </si>
  <si>
    <t xml:space="preserve">*Wimukthi confirmed that the new WH capacity is 10300 CBM (9500+800) </t>
  </si>
  <si>
    <t>OFC_CR</t>
  </si>
  <si>
    <t xml:space="preserve">Hirdaramani Knit Client Warehouse </t>
  </si>
  <si>
    <t>HIDFB</t>
  </si>
  <si>
    <t>NMDC</t>
  </si>
  <si>
    <t>No. of Pallet</t>
  </si>
  <si>
    <t>Net_Profit</t>
  </si>
  <si>
    <t>Fluctuation Rate</t>
  </si>
  <si>
    <t>WH_ID</t>
  </si>
  <si>
    <t>Client_Code</t>
  </si>
  <si>
    <t>Client_Name</t>
  </si>
  <si>
    <t>EFLHK</t>
  </si>
  <si>
    <t>HELEN KAMINSKI PTY LTD</t>
  </si>
  <si>
    <t>FGMTS</t>
  </si>
  <si>
    <t>GSHPL</t>
  </si>
  <si>
    <t>GEORGE STEUART HEALTH (PVT) LTD</t>
  </si>
  <si>
    <t>DRDNS</t>
  </si>
  <si>
    <t>CEYLON HOSPITALS PLC</t>
  </si>
  <si>
    <t>EFLHUB</t>
  </si>
  <si>
    <t>EXPO LANKA FREIGHT PVT LTD-HUB</t>
  </si>
  <si>
    <t>QCKDS</t>
  </si>
  <si>
    <t>QUICKEE DELIVERY SOLUTIONS (PVT) LTD</t>
  </si>
  <si>
    <t>BASLFF</t>
  </si>
  <si>
    <t>BRANDIX APPAREL SOLUTIONS LIMITED - FAST FASHION</t>
  </si>
  <si>
    <t>MIT</t>
  </si>
  <si>
    <t>MILLENNIUM I.T.E.S.P (PVT) LIMITED</t>
  </si>
  <si>
    <t>INT</t>
  </si>
  <si>
    <t>MAS INTIMATES (PVT) LTD</t>
  </si>
  <si>
    <t>CBLIF</t>
  </si>
  <si>
    <t>CBL INTERNATIONAL FOODS (PVT) LTD</t>
  </si>
  <si>
    <t>MASI</t>
  </si>
  <si>
    <t>MATL</t>
  </si>
  <si>
    <t>MAS ACTIVE TRADING (PVT) LTD – LINEA INTIMO</t>
  </si>
  <si>
    <t>ANSCM</t>
  </si>
  <si>
    <t>ANSCOM LIMITED</t>
  </si>
  <si>
    <t>MASD</t>
  </si>
  <si>
    <t>MAS INTIMATES (PVT) LTD - DIRECT</t>
  </si>
  <si>
    <t>TIJARA</t>
  </si>
  <si>
    <t>TIJARA HOLDINGS (PRIVATE) LIMITED</t>
  </si>
  <si>
    <t>UNICHELA</t>
  </si>
  <si>
    <t>UNICHELA (PVT) LTD</t>
  </si>
  <si>
    <t>SUPERDRY</t>
  </si>
  <si>
    <t>LIGENTIA UK LTD</t>
  </si>
  <si>
    <t>MASACTIVE</t>
  </si>
  <si>
    <t>MAS ACTIVE PVT LTD</t>
  </si>
  <si>
    <t>BRIN</t>
  </si>
  <si>
    <t>BRANDIX INDIA CONSOLE OPERATION</t>
  </si>
  <si>
    <t>CGAL</t>
  </si>
  <si>
    <t>CARGILLS AGRIFOODS LIMITED</t>
  </si>
  <si>
    <t>CPPT</t>
  </si>
  <si>
    <t>CONFIANDO PHARMA (PVT) LTD</t>
  </si>
  <si>
    <t>GTWN</t>
  </si>
  <si>
    <t>G-TOWN (PVT) LTD</t>
  </si>
  <si>
    <t>EDOT</t>
  </si>
  <si>
    <t>ICAP</t>
  </si>
  <si>
    <t>I CAPITAL PARTNERS LIMITED</t>
  </si>
  <si>
    <t>EBEL</t>
  </si>
  <si>
    <t>ESWARAN BROTHERS EXPORTS (PVT) LTD</t>
  </si>
  <si>
    <t>BRDG</t>
  </si>
  <si>
    <t>BRANDIX APPAREL SOLUTIONS LTD.</t>
  </si>
  <si>
    <t>BL</t>
  </si>
  <si>
    <t>BODYLINE (PVT) LTD</t>
  </si>
  <si>
    <t>BIA</t>
  </si>
  <si>
    <t>BRANDIX INTIMATE APPARELS</t>
  </si>
  <si>
    <t>HMS</t>
  </si>
  <si>
    <t>HEMAS PHARMACEUTICALS(PVT)LTD</t>
  </si>
  <si>
    <t>CBL</t>
  </si>
  <si>
    <t>CEYLON BISCUITS LIMITED</t>
  </si>
  <si>
    <t>DSI</t>
  </si>
  <si>
    <t>D. SAMSON &amp; SONS LTD.</t>
  </si>
  <si>
    <t>LA</t>
  </si>
  <si>
    <t>LINEA AQUA (PVT) LTD</t>
  </si>
  <si>
    <t>ARS</t>
  </si>
  <si>
    <t>A.R.S.HEALTHCARE(PVT)LTD</t>
  </si>
  <si>
    <t>MASCTR</t>
  </si>
  <si>
    <t>BDXLI</t>
  </si>
  <si>
    <t>BRANDIX APPAREL SOLUTIONS LTD - LINGERIE</t>
  </si>
  <si>
    <t>MASKTR</t>
  </si>
  <si>
    <t>EMJ</t>
  </si>
  <si>
    <t>FND</t>
  </si>
  <si>
    <t>TLP</t>
  </si>
  <si>
    <t>TEEJAY LANKA PLC</t>
  </si>
  <si>
    <t>FGAR</t>
  </si>
  <si>
    <t>FOUNDATION GARMENTS (PRIVATE) LTD</t>
  </si>
  <si>
    <t>DSSL</t>
  </si>
  <si>
    <t>D.SAMSON &amp; SONS LTD.</t>
  </si>
  <si>
    <t>HCPL</t>
  </si>
  <si>
    <t>HELA CLOTHING (PVT) LTD</t>
  </si>
  <si>
    <t>ARCD</t>
  </si>
  <si>
    <t>ESLP</t>
  </si>
  <si>
    <t>MASK</t>
  </si>
  <si>
    <t>MASO</t>
  </si>
  <si>
    <t>VICN</t>
  </si>
  <si>
    <t>MKOO</t>
  </si>
  <si>
    <t>MAS KREEDA OTHER OPERATION</t>
  </si>
  <si>
    <t>BDXAP</t>
  </si>
  <si>
    <t>MASC</t>
  </si>
  <si>
    <t>ESKD</t>
  </si>
  <si>
    <t>MKRE</t>
  </si>
  <si>
    <t>MAS KREEDA CENTRALIZED OPERATION – RM</t>
  </si>
  <si>
    <t>EGDC</t>
  </si>
  <si>
    <t>HIDRAMANI FABRIC BULK OPERATION</t>
  </si>
  <si>
    <t>HGKPL</t>
  </si>
  <si>
    <t>HIRDARAMANI GARMENTS KATUNAYAKE (PRIVATE) LIMITED</t>
  </si>
  <si>
    <t>HKEFL</t>
  </si>
  <si>
    <t>EXPOLANKA FREIGHT (PRIVATE) LIMITED</t>
  </si>
  <si>
    <t>MASDI</t>
  </si>
  <si>
    <t>MAS DESIGN INC.</t>
  </si>
  <si>
    <t>MASLS</t>
  </si>
  <si>
    <t>EGDC-MAS ACTIVE LEISURELINE (SYNERGY)</t>
  </si>
  <si>
    <t>VICFB</t>
  </si>
  <si>
    <t>VICUNHA EUROPE S.A.R.L</t>
  </si>
  <si>
    <t>REIFG</t>
  </si>
  <si>
    <t>REIMA OY</t>
  </si>
  <si>
    <t>STHLD</t>
  </si>
  <si>
    <t>STANDARD HOLDINGS (PVT) LTD</t>
  </si>
  <si>
    <t>MASIN</t>
  </si>
  <si>
    <t>MAS INTIMATES (PRIVATE) LTD</t>
  </si>
  <si>
    <t>MASIV</t>
  </si>
  <si>
    <t>MAS INNOVATION (PVT) LTD</t>
  </si>
  <si>
    <t>ACIS</t>
  </si>
  <si>
    <t>ACTEIL INNOVATIVE SOLUTIONS (PVT) LTD</t>
  </si>
  <si>
    <t>DTTI</t>
  </si>
  <si>
    <t>DIAL TEXTILE INDUSTRIES (PVT) LTD</t>
  </si>
  <si>
    <t>COLL</t>
  </si>
  <si>
    <t>OMEGA LINE LTD</t>
  </si>
  <si>
    <t>CSNP</t>
  </si>
  <si>
    <t>SNP TRADING</t>
  </si>
  <si>
    <t>EFLC</t>
  </si>
  <si>
    <t>EXPO FREIGHT PRIVATE LIMITED</t>
  </si>
  <si>
    <t>PIPL</t>
  </si>
  <si>
    <t>PARAMOUNT IMPEX PVT LTD</t>
  </si>
  <si>
    <t>ESC</t>
  </si>
  <si>
    <t>E-SCREEN SYSTEMS PVT LTD</t>
  </si>
  <si>
    <t>HFL</t>
  </si>
  <si>
    <t>HAFELE ENGINEERING ASIA LTD</t>
  </si>
  <si>
    <t>BLI</t>
  </si>
  <si>
    <t>BRANDIX LINGERIE</t>
  </si>
  <si>
    <t>BALTD</t>
  </si>
  <si>
    <t>BRANDIX APPAREL LTD</t>
  </si>
  <si>
    <t>BLIDL</t>
  </si>
  <si>
    <t>ELCRL</t>
  </si>
  <si>
    <t>LAUGFS CORPORATION (RUBBER) LTD</t>
  </si>
  <si>
    <t>DYSPL</t>
  </si>
  <si>
    <t>DYSTAR SINGAPORE PTE LTD</t>
  </si>
  <si>
    <t>CONUS</t>
  </si>
  <si>
    <t>CONTENDER U.S. INC.</t>
  </si>
  <si>
    <t>YORK</t>
  </si>
  <si>
    <t>YORK TRADING PRIVATE LIMITED</t>
  </si>
  <si>
    <t>3BIGD</t>
  </si>
  <si>
    <t>3 BIG DOGS PTE. LTD.</t>
  </si>
  <si>
    <t>ASONS</t>
  </si>
  <si>
    <t>ASONS (PVT) LIMITED</t>
  </si>
  <si>
    <t>STPL</t>
  </si>
  <si>
    <t>SHEARPAN TRADING (PVT) LTD</t>
  </si>
  <si>
    <t>SJCORP</t>
  </si>
  <si>
    <t>SJ CORP CEYLON (PVT) LTD</t>
  </si>
  <si>
    <t>EGMASDL</t>
  </si>
  <si>
    <t>EGDC-MAS ACTIVE SHADOWLINE</t>
  </si>
  <si>
    <t>Sellable Capacity</t>
  </si>
  <si>
    <t>Actual Sellable space</t>
  </si>
  <si>
    <t>Sellable Space  index</t>
  </si>
  <si>
    <t>Wimukthi confirmed new WH capacity as 800 CBM (9500+800)</t>
  </si>
  <si>
    <t>Actual CBM</t>
  </si>
  <si>
    <t>*As per the instruction received from Thusitha on 2021.06.10 changed the table format. Removed the honeycomd/ unoccupied details</t>
  </si>
  <si>
    <t>Midas (After 15th Aug)</t>
  </si>
  <si>
    <t>Un-Occupied Space (Breakdown/Promised Volumes)</t>
  </si>
  <si>
    <t>100% Occupancy Moment</t>
  </si>
  <si>
    <t>Expo Global Freeport -  Mercury Plant</t>
  </si>
  <si>
    <t>Expo Global Freeport -  Hidramani Woven</t>
  </si>
  <si>
    <t xml:space="preserve"> Capacity</t>
  </si>
  <si>
    <t xml:space="preserve"> Occupancy</t>
  </si>
  <si>
    <t>Location Type</t>
  </si>
  <si>
    <t>Location Per CBM</t>
  </si>
  <si>
    <t>No Locations</t>
  </si>
  <si>
    <t>Fabric</t>
  </si>
  <si>
    <t>Trims</t>
  </si>
  <si>
    <t>FG</t>
  </si>
  <si>
    <t>Shelving</t>
  </si>
  <si>
    <t>Description</t>
  </si>
  <si>
    <t>Unit</t>
  </si>
  <si>
    <t>Amount-EGF</t>
  </si>
  <si>
    <t>Amount</t>
  </si>
  <si>
    <t>Operational Days per Month</t>
  </si>
  <si>
    <t>days</t>
  </si>
  <si>
    <t>Working Time</t>
  </si>
  <si>
    <t>hr</t>
  </si>
  <si>
    <t>Efficiency</t>
  </si>
  <si>
    <t>Working Hours</t>
  </si>
  <si>
    <t>Working Minutes</t>
  </si>
  <si>
    <t>Min</t>
  </si>
  <si>
    <t>Working days per week</t>
  </si>
  <si>
    <t xml:space="preserve">No of week per month </t>
  </si>
  <si>
    <t xml:space="preserve">Weeks </t>
  </si>
  <si>
    <t>1.3. Working days per Week (Days )</t>
  </si>
  <si>
    <t>EGF Avg. Ad-Hoc VAS Cadre</t>
  </si>
  <si>
    <t>Avaliable Working Hr.</t>
  </si>
  <si>
    <t>Utilized working Hr.</t>
  </si>
  <si>
    <t>LPPL Avg. Ad-Hoc VAS Cadre</t>
  </si>
  <si>
    <t>LPPL Avg. VAS Cadre</t>
  </si>
  <si>
    <t>Site Name</t>
  </si>
  <si>
    <t>Orugodawatthe DC</t>
  </si>
  <si>
    <t>VAS Cadre Utilzation</t>
  </si>
  <si>
    <t>Ad-Hoc VAS Cadre Utilzation</t>
  </si>
  <si>
    <t>EGF DC</t>
  </si>
  <si>
    <t xml:space="preserve">Capacity  </t>
  </si>
  <si>
    <r>
      <t>Note</t>
    </r>
    <r>
      <rPr>
        <b/>
        <sz val="11"/>
        <color rgb="FF1F497D"/>
        <rFont val="Calibri"/>
        <family val="2"/>
      </rPr>
      <t>: Sellable Space Index =</t>
    </r>
  </si>
  <si>
    <t xml:space="preserve">Please find the DC level utilization status for your reference. </t>
  </si>
  <si>
    <t>*Wimukthi confirmed that the new WH capacity is 21000 CBM (18000 + 3000)</t>
  </si>
  <si>
    <t>WH ID</t>
  </si>
  <si>
    <t>Sq. 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</si>
</sst>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43" formatCode="_(* #,##0.00_);_(* \(#,##0.00\);_(* &quot;-&quot;??_);_(@_)"/>
    <numFmt numFmtId="164" formatCode="_(* #,##0_);_(* \(#,##0\);_(* &quot;-&quot;??_);_(@_)"/>
    <numFmt numFmtId="165" formatCode="0.0000"/>
    <numFmt numFmtId="166" formatCode="_(* #,##0.0000_);_(* \(#,##0.0000\);_(* &quot;-&quot;??_);_(@_)"/>
    <numFmt numFmtId="167" formatCode="_(* #,##0.00000_);_(* \(#,##0.00000\);_(* &quot;-&quot;??_);_(@_)"/>
    <numFmt numFmtId="168" formatCode="0.000%"/>
    <numFmt numFmtId="169" formatCode="_(* #,##0.000_);_(* \(#,##0.000\);_(* &quot;-&quot;??_);_(@_)"/>
    <numFmt numFmtId="170" formatCode="0.0%"/>
    <numFmt numFmtId="171" formatCode="_-* #,##0.00_-;\-* #,##0.00_-;_-* &quot;-&quot;??_-;_-@_-"/>
    <numFmt numFmtId="172" formatCode="_-* #,##0_-;\-* #,##0_-;_-* &quot;-&quot;??_-;_-@_-"/>
    <numFmt numFmtId="173" formatCode="_-* #,##0.0_-;\-* #,##0.0_-;_-* &quot;-&quot;??_-;_-@_-"/>
  </numFmts>
  <fonts count="6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Arial"/>
      <family val="2"/>
    </font>
    <font>
      <sz val="9"/>
      <color theme="1"/>
      <name val="Calibri"/>
      <family val="2"/>
      <scheme val="minor"/>
    </font>
    <font>
      <b/>
      <u val="double"/>
      <sz val="11"/>
      <color indexed="81"/>
      <name val="Tahoma"/>
      <family val="2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alibri"/>
      <family val="2"/>
    </font>
    <font>
      <sz val="10"/>
      <name val="Arial"/>
      <family val="2"/>
    </font>
    <font>
      <sz val="16"/>
      <color rgb="FF000000"/>
      <name val="Calibri"/>
      <family val="2"/>
    </font>
    <font>
      <sz val="7"/>
      <color rgb="FF000000"/>
      <name val="Times New Roman"/>
      <family val="1"/>
    </font>
    <font>
      <sz val="7"/>
      <color rgb="FFFF0000"/>
      <name val="Times New Roman"/>
      <family val="1"/>
    </font>
    <font>
      <vertAlign val="superscript"/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sz val="10"/>
      <color theme="1"/>
      <name val="Times New Roman"/>
      <family val="1"/>
    </font>
    <font>
      <b/>
      <sz val="11"/>
      <color rgb="FF000000"/>
      <name val="Calibri"/>
      <family val="2"/>
    </font>
    <font>
      <strike/>
      <sz val="11"/>
      <color rgb="FF000000"/>
      <name val="Calibri"/>
      <family val="2"/>
    </font>
    <font>
      <sz val="12"/>
      <name val="Times New Roman"/>
      <family val="1"/>
    </font>
    <font>
      <b/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rgb="FF222222"/>
      <name val="Arial"/>
      <family val="2"/>
    </font>
    <font>
      <sz val="10"/>
      <color rgb="FF222222"/>
      <name val="Arial"/>
      <family val="2"/>
    </font>
    <font>
      <sz val="10"/>
      <color theme="1"/>
      <name val="Calibri"/>
      <family val="2"/>
      <scheme val="minor"/>
    </font>
    <font>
      <sz val="10"/>
      <color indexed="8"/>
      <name val="MS Sans Serif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F497D"/>
      <name val="Calibri"/>
      <family val="2"/>
    </font>
    <font>
      <sz val="11"/>
      <color rgb="FF1F497D"/>
      <name val="Calibri"/>
      <family val="2"/>
    </font>
    <font>
      <b/>
      <sz val="11"/>
      <color rgb="FF1F497D"/>
      <name val="Calibri"/>
      <family val="2"/>
    </font>
    <font>
      <sz val="11"/>
      <color theme="8" tint="-0.499984740745262"/>
      <name val="Calibri"/>
      <family val="2"/>
    </font>
    <font>
      <b/>
      <sz val="11"/>
      <color theme="8" tint="-0.499984740745262"/>
      <name val="Calibri"/>
      <family val="2"/>
    </font>
    <font>
      <b/>
      <sz val="11"/>
      <color theme="8" tint="-0.499984740745262"/>
      <name val="Calibri"/>
      <family val="2"/>
      <scheme val="minor"/>
    </font>
    <font>
      <b/>
      <u/>
      <sz val="18"/>
      <color rgb="FF000000"/>
      <name val="Calibri"/>
      <family val="2"/>
      <scheme val="minor"/>
    </font>
    <font>
      <sz val="11"/>
      <color rgb="FF2F5597"/>
      <name val="Calibri"/>
      <family val="2"/>
    </font>
    <font>
      <b/>
      <u/>
      <sz val="11"/>
      <color rgb="FF1F497D"/>
      <name val="Calibri"/>
      <family val="2"/>
    </font>
    <font>
      <sz val="10"/>
      <name val="Calibri"/>
      <family val="2"/>
    </font>
  </fonts>
  <fills count="4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</fills>
  <borders count="8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/>
      </top>
      <bottom/>
      <diagonal/>
    </border>
    <border>
      <left style="thin">
        <color indexed="64"/>
      </left>
      <right style="thin">
        <color indexed="64"/>
      </right>
      <top style="thin">
        <color rgb="FF999999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54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39" applyNumberFormat="0" applyFill="0" applyAlignment="0" applyProtection="0"/>
    <xf numFmtId="0" fontId="17" fillId="0" borderId="40" applyNumberFormat="0" applyFill="0" applyAlignment="0" applyProtection="0"/>
    <xf numFmtId="0" fontId="18" fillId="0" borderId="41" applyNumberFormat="0" applyFill="0" applyAlignment="0" applyProtection="0"/>
    <xf numFmtId="0" fontId="18" fillId="0" borderId="0" applyNumberFormat="0" applyFill="0" applyBorder="0" applyAlignment="0" applyProtection="0"/>
    <xf numFmtId="0" fontId="19" fillId="7" borderId="0" applyNumberFormat="0" applyBorder="0" applyAlignment="0" applyProtection="0"/>
    <xf numFmtId="0" fontId="20" fillId="8" borderId="0" applyNumberFormat="0" applyBorder="0" applyAlignment="0" applyProtection="0"/>
    <xf numFmtId="0" fontId="21" fillId="9" borderId="0" applyNumberFormat="0" applyBorder="0" applyAlignment="0" applyProtection="0"/>
    <xf numFmtId="0" fontId="22" fillId="10" borderId="42" applyNumberFormat="0" applyAlignment="0" applyProtection="0"/>
    <xf numFmtId="0" fontId="23" fillId="11" borderId="43" applyNumberFormat="0" applyAlignment="0" applyProtection="0"/>
    <xf numFmtId="0" fontId="24" fillId="11" borderId="42" applyNumberFormat="0" applyAlignment="0" applyProtection="0"/>
    <xf numFmtId="0" fontId="25" fillId="0" borderId="44" applyNumberFormat="0" applyFill="0" applyAlignment="0" applyProtection="0"/>
    <xf numFmtId="0" fontId="26" fillId="12" borderId="45" applyNumberFormat="0" applyAlignment="0" applyProtection="0"/>
    <xf numFmtId="0" fontId="27" fillId="0" borderId="0" applyNumberFormat="0" applyFill="0" applyBorder="0" applyAlignment="0" applyProtection="0"/>
    <xf numFmtId="0" fontId="1" fillId="13" borderId="46" applyNumberFormat="0" applyFont="0" applyAlignment="0" applyProtection="0"/>
    <xf numFmtId="0" fontId="28" fillId="0" borderId="0" applyNumberFormat="0" applyFill="0" applyBorder="0" applyAlignment="0" applyProtection="0"/>
    <xf numFmtId="0" fontId="2" fillId="0" borderId="47" applyNumberFormat="0" applyFill="0" applyAlignment="0" applyProtection="0"/>
    <xf numFmtId="0" fontId="29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29" fillId="37" borderId="0" applyNumberFormat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71" fontId="43" fillId="0" borderId="0" applyFont="0" applyFill="0" applyBorder="0" applyAlignment="0" applyProtection="0">
      <alignment vertical="center"/>
    </xf>
    <xf numFmtId="43" fontId="43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0" fontId="1" fillId="0" borderId="0"/>
    <xf numFmtId="0" fontId="49" fillId="0" borderId="0"/>
  </cellStyleXfs>
  <cellXfs count="520">
    <xf numFmtId="0" fontId="0" fillId="0" borderId="0" xfId="0"/>
    <xf numFmtId="0" fontId="5" fillId="0" borderId="0" xfId="0" applyFont="1"/>
    <xf numFmtId="0" fontId="0" fillId="2" borderId="0" xfId="0" applyFill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center"/>
    </xf>
    <xf numFmtId="9" fontId="0" fillId="0" borderId="1" xfId="1" applyFont="1" applyBorder="1"/>
    <xf numFmtId="1" fontId="0" fillId="0" borderId="1" xfId="0" applyNumberFormat="1" applyBorder="1"/>
    <xf numFmtId="14" fontId="2" fillId="0" borderId="1" xfId="0" applyNumberFormat="1" applyFont="1" applyBorder="1" applyAlignment="1">
      <alignment horizontal="center"/>
    </xf>
    <xf numFmtId="14" fontId="2" fillId="0" borderId="1" xfId="0" applyNumberFormat="1" applyFont="1" applyBorder="1" applyAlignment="1">
      <alignment horizontal="right"/>
    </xf>
    <xf numFmtId="0" fontId="0" fillId="0" borderId="1" xfId="0" applyBorder="1" applyAlignment="1">
      <alignment horizontal="right"/>
    </xf>
    <xf numFmtId="9" fontId="1" fillId="0" borderId="1" xfId="1" applyFont="1" applyBorder="1" applyAlignment="1">
      <alignment horizontal="right"/>
    </xf>
    <xf numFmtId="0" fontId="2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6" fillId="0" borderId="2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2" fillId="0" borderId="1" xfId="0" applyFont="1" applyBorder="1" applyAlignment="1">
      <alignment horizontal="center" wrapText="1"/>
    </xf>
    <xf numFmtId="14" fontId="2" fillId="0" borderId="1" xfId="0" applyNumberFormat="1" applyFont="1" applyBorder="1" applyAlignment="1">
      <alignment horizontal="center" wrapText="1"/>
    </xf>
    <xf numFmtId="0" fontId="2" fillId="0" borderId="5" xfId="0" applyFont="1" applyBorder="1"/>
    <xf numFmtId="1" fontId="0" fillId="0" borderId="6" xfId="0" applyNumberFormat="1" applyBorder="1"/>
    <xf numFmtId="0" fontId="0" fillId="0" borderId="5" xfId="0" applyBorder="1"/>
    <xf numFmtId="0" fontId="0" fillId="0" borderId="6" xfId="0" applyBorder="1" applyAlignment="1">
      <alignment horizontal="left"/>
    </xf>
    <xf numFmtId="17" fontId="0" fillId="0" borderId="0" xfId="0" applyNumberFormat="1"/>
    <xf numFmtId="0" fontId="0" fillId="0" borderId="0" xfId="0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6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2" fillId="0" borderId="15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1" fontId="0" fillId="0" borderId="1" xfId="1" applyNumberFormat="1" applyFont="1" applyBorder="1"/>
    <xf numFmtId="0" fontId="2" fillId="0" borderId="1" xfId="0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" fontId="0" fillId="3" borderId="1" xfId="1" applyNumberFormat="1" applyFont="1" applyFill="1" applyBorder="1"/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9" fillId="0" borderId="0" xfId="0" applyFont="1" applyAlignment="1">
      <alignment wrapText="1"/>
    </xf>
    <xf numFmtId="0" fontId="9" fillId="0" borderId="24" xfId="0" applyFont="1" applyBorder="1"/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0" fillId="4" borderId="30" xfId="0" applyFont="1" applyFill="1" applyBorder="1" applyAlignment="1">
      <alignment horizontal="center" vertical="center" wrapText="1"/>
    </xf>
    <xf numFmtId="0" fontId="10" fillId="4" borderId="31" xfId="0" applyFont="1" applyFill="1" applyBorder="1" applyAlignment="1">
      <alignment horizontal="center" vertical="center" wrapText="1"/>
    </xf>
    <xf numFmtId="0" fontId="10" fillId="4" borderId="32" xfId="0" applyFont="1" applyFill="1" applyBorder="1" applyAlignment="1">
      <alignment horizontal="left" vertical="center"/>
    </xf>
    <xf numFmtId="0" fontId="10" fillId="4" borderId="33" xfId="0" applyFont="1" applyFill="1" applyBorder="1" applyAlignment="1">
      <alignment horizontal="left" vertical="center"/>
    </xf>
    <xf numFmtId="0" fontId="10" fillId="4" borderId="34" xfId="0" applyFont="1" applyFill="1" applyBorder="1" applyAlignment="1">
      <alignment horizontal="left" vertical="center"/>
    </xf>
    <xf numFmtId="43" fontId="11" fillId="4" borderId="35" xfId="2" applyFont="1" applyFill="1" applyBorder="1" applyAlignment="1">
      <alignment wrapText="1"/>
    </xf>
    <xf numFmtId="164" fontId="11" fillId="4" borderId="36" xfId="0" applyNumberFormat="1" applyFont="1" applyFill="1" applyBorder="1" applyAlignment="1">
      <alignment wrapText="1"/>
    </xf>
    <xf numFmtId="43" fontId="2" fillId="0" borderId="0" xfId="2" applyFont="1" applyBorder="1" applyAlignment="1">
      <alignment horizontal="center" vertical="center"/>
    </xf>
    <xf numFmtId="0" fontId="9" fillId="0" borderId="0" xfId="0" applyFont="1"/>
    <xf numFmtId="43" fontId="11" fillId="0" borderId="9" xfId="2" applyFont="1" applyFill="1" applyBorder="1" applyAlignment="1"/>
    <xf numFmtId="164" fontId="11" fillId="0" borderId="10" xfId="0" applyNumberFormat="1" applyFont="1" applyBorder="1"/>
    <xf numFmtId="43" fontId="11" fillId="0" borderId="1" xfId="2" applyFont="1" applyFill="1" applyBorder="1" applyAlignment="1"/>
    <xf numFmtId="164" fontId="11" fillId="0" borderId="11" xfId="0" applyNumberFormat="1" applyFont="1" applyBorder="1"/>
    <xf numFmtId="43" fontId="11" fillId="0" borderId="12" xfId="2" applyFont="1" applyFill="1" applyBorder="1" applyAlignment="1"/>
    <xf numFmtId="164" fontId="11" fillId="0" borderId="13" xfId="0" applyNumberFormat="1" applyFont="1" applyBorder="1"/>
    <xf numFmtId="0" fontId="2" fillId="0" borderId="0" xfId="0" applyFont="1" applyAlignment="1">
      <alignment horizontal="left" vertical="center"/>
    </xf>
    <xf numFmtId="9" fontId="0" fillId="0" borderId="0" xfId="1" applyFont="1"/>
    <xf numFmtId="166" fontId="0" fillId="0" borderId="0" xfId="0" applyNumberFormat="1"/>
    <xf numFmtId="0" fontId="2" fillId="3" borderId="0" xfId="0" applyFont="1" applyFill="1" applyAlignment="1">
      <alignment horizontal="center" vertical="center"/>
    </xf>
    <xf numFmtId="2" fontId="0" fillId="0" borderId="0" xfId="0" applyNumberFormat="1"/>
    <xf numFmtId="0" fontId="12" fillId="0" borderId="0" xfId="0" applyFont="1"/>
    <xf numFmtId="0" fontId="0" fillId="3" borderId="1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164" fontId="0" fillId="0" borderId="1" xfId="2" applyNumberFormat="1" applyFont="1" applyBorder="1"/>
    <xf numFmtId="164" fontId="0" fillId="0" borderId="0" xfId="2" applyNumberFormat="1" applyFont="1"/>
    <xf numFmtId="9" fontId="0" fillId="0" borderId="0" xfId="0" applyNumberFormat="1"/>
    <xf numFmtId="164" fontId="0" fillId="3" borderId="1" xfId="2" applyNumberFormat="1" applyFont="1" applyFill="1" applyBorder="1" applyAlignment="1">
      <alignment horizontal="left"/>
    </xf>
    <xf numFmtId="165" fontId="2" fillId="0" borderId="1" xfId="0" applyNumberFormat="1" applyFont="1" applyBorder="1"/>
    <xf numFmtId="0" fontId="2" fillId="0" borderId="1" xfId="0" applyFont="1" applyBorder="1" applyAlignment="1">
      <alignment horizontal="center" vertical="center"/>
    </xf>
    <xf numFmtId="1" fontId="2" fillId="0" borderId="0" xfId="0" applyNumberFormat="1" applyFont="1"/>
    <xf numFmtId="0" fontId="2" fillId="0" borderId="1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4" fontId="2" fillId="0" borderId="21" xfId="2" applyNumberFormat="1" applyFont="1" applyFill="1" applyBorder="1" applyAlignment="1">
      <alignment horizontal="left" vertical="center" wrapText="1"/>
    </xf>
    <xf numFmtId="0" fontId="2" fillId="5" borderId="37" xfId="0" applyFont="1" applyFill="1" applyBorder="1" applyAlignment="1">
      <alignment horizontal="center" vertical="center" wrapText="1"/>
    </xf>
    <xf numFmtId="3" fontId="13" fillId="3" borderId="1" xfId="0" applyNumberFormat="1" applyFont="1" applyFill="1" applyBorder="1"/>
    <xf numFmtId="9" fontId="0" fillId="0" borderId="0" xfId="1" applyFont="1" applyBorder="1"/>
    <xf numFmtId="0" fontId="14" fillId="0" borderId="0" xfId="0" applyFont="1" applyAlignment="1">
      <alignment horizontal="left" vertical="center"/>
    </xf>
    <xf numFmtId="14" fontId="2" fillId="0" borderId="1" xfId="0" applyNumberFormat="1" applyFont="1" applyBorder="1"/>
    <xf numFmtId="14" fontId="0" fillId="0" borderId="1" xfId="0" applyNumberFormat="1" applyBorder="1" applyAlignment="1">
      <alignment horizontal="right"/>
    </xf>
    <xf numFmtId="14" fontId="0" fillId="0" borderId="1" xfId="0" applyNumberFormat="1" applyBorder="1"/>
    <xf numFmtId="1" fontId="0" fillId="0" borderId="5" xfId="0" applyNumberFormat="1" applyBorder="1"/>
    <xf numFmtId="14" fontId="2" fillId="0" borderId="38" xfId="0" applyNumberFormat="1" applyFont="1" applyBorder="1" applyAlignment="1">
      <alignment horizontal="center"/>
    </xf>
    <xf numFmtId="1" fontId="0" fillId="0" borderId="38" xfId="0" applyNumberFormat="1" applyBorder="1"/>
    <xf numFmtId="0" fontId="0" fillId="0" borderId="38" xfId="0" applyBorder="1"/>
    <xf numFmtId="1" fontId="0" fillId="0" borderId="7" xfId="0" applyNumberFormat="1" applyBorder="1"/>
    <xf numFmtId="3" fontId="0" fillId="0" borderId="0" xfId="0" applyNumberFormat="1"/>
    <xf numFmtId="14" fontId="2" fillId="3" borderId="1" xfId="0" applyNumberFormat="1" applyFont="1" applyFill="1" applyBorder="1" applyAlignment="1">
      <alignment horizontal="center"/>
    </xf>
    <xf numFmtId="1" fontId="0" fillId="3" borderId="1" xfId="0" applyNumberFormat="1" applyFill="1" applyBorder="1"/>
    <xf numFmtId="0" fontId="0" fillId="3" borderId="1" xfId="0" applyFill="1" applyBorder="1"/>
    <xf numFmtId="164" fontId="0" fillId="3" borderId="1" xfId="2" applyNumberFormat="1" applyFont="1" applyFill="1" applyBorder="1"/>
    <xf numFmtId="0" fontId="2" fillId="0" borderId="5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2" fillId="0" borderId="5" xfId="0" applyFont="1" applyBorder="1" applyAlignment="1">
      <alignment wrapText="1"/>
    </xf>
    <xf numFmtId="165" fontId="2" fillId="0" borderId="5" xfId="0" applyNumberFormat="1" applyFont="1" applyBorder="1"/>
    <xf numFmtId="0" fontId="2" fillId="0" borderId="1" xfId="0" applyFont="1" applyBorder="1" applyAlignment="1">
      <alignment horizontal="left" vertical="center"/>
    </xf>
    <xf numFmtId="165" fontId="2" fillId="0" borderId="1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center" vertical="center"/>
    </xf>
    <xf numFmtId="164" fontId="2" fillId="0" borderId="1" xfId="2" applyNumberFormat="1" applyFont="1" applyFill="1" applyBorder="1" applyAlignment="1">
      <alignment horizontal="left" vertical="center" wrapText="1"/>
    </xf>
    <xf numFmtId="164" fontId="2" fillId="0" borderId="1" xfId="2" applyNumberFormat="1" applyFont="1" applyFill="1" applyBorder="1" applyAlignment="1">
      <alignment vertical="center" wrapText="1"/>
    </xf>
    <xf numFmtId="0" fontId="0" fillId="3" borderId="0" xfId="0" applyFill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7" fontId="0" fillId="0" borderId="0" xfId="0" applyNumberFormat="1"/>
    <xf numFmtId="0" fontId="2" fillId="0" borderId="4" xfId="0" applyFont="1" applyBorder="1"/>
    <xf numFmtId="164" fontId="0" fillId="0" borderId="38" xfId="2" applyNumberFormat="1" applyFont="1" applyBorder="1"/>
    <xf numFmtId="14" fontId="2" fillId="0" borderId="0" xfId="0" applyNumberFormat="1" applyFont="1" applyAlignment="1">
      <alignment horizontal="center"/>
    </xf>
    <xf numFmtId="1" fontId="0" fillId="0" borderId="0" xfId="0" applyNumberFormat="1"/>
    <xf numFmtId="164" fontId="0" fillId="0" borderId="0" xfId="2" applyNumberFormat="1" applyFont="1" applyBorder="1"/>
    <xf numFmtId="0" fontId="30" fillId="0" borderId="0" xfId="0" applyFont="1"/>
    <xf numFmtId="9" fontId="0" fillId="0" borderId="1" xfId="1" applyFont="1" applyBorder="1" applyAlignment="1"/>
    <xf numFmtId="1" fontId="0" fillId="0" borderId="1" xfId="1" applyNumberFormat="1" applyFont="1" applyBorder="1" applyAlignment="1"/>
    <xf numFmtId="1" fontId="0" fillId="3" borderId="1" xfId="1" applyNumberFormat="1" applyFont="1" applyFill="1" applyBorder="1" applyAlignment="1"/>
    <xf numFmtId="164" fontId="0" fillId="0" borderId="1" xfId="2" applyNumberFormat="1" applyFont="1" applyBorder="1" applyAlignment="1"/>
    <xf numFmtId="14" fontId="2" fillId="0" borderId="1" xfId="0" applyNumberFormat="1" applyFont="1" applyBorder="1" applyAlignment="1">
      <alignment horizontal="center" vertical="center"/>
    </xf>
    <xf numFmtId="1" fontId="2" fillId="0" borderId="38" xfId="0" applyNumberFormat="1" applyFont="1" applyBorder="1" applyAlignment="1">
      <alignment horizontal="center"/>
    </xf>
    <xf numFmtId="164" fontId="30" fillId="0" borderId="0" xfId="0" applyNumberFormat="1" applyFont="1" applyAlignment="1">
      <alignment horizontal="center"/>
    </xf>
    <xf numFmtId="10" fontId="30" fillId="0" borderId="0" xfId="1" applyNumberFormat="1" applyFont="1" applyFill="1" applyBorder="1"/>
    <xf numFmtId="0" fontId="2" fillId="0" borderId="0" xfId="0" applyFont="1" applyAlignment="1">
      <alignment horizontal="left"/>
    </xf>
    <xf numFmtId="164" fontId="0" fillId="0" borderId="0" xfId="0" applyNumberFormat="1"/>
    <xf numFmtId="168" fontId="0" fillId="0" borderId="0" xfId="1" applyNumberFormat="1" applyFont="1"/>
    <xf numFmtId="10" fontId="0" fillId="0" borderId="0" xfId="0" applyNumberFormat="1"/>
    <xf numFmtId="165" fontId="0" fillId="0" borderId="0" xfId="0" applyNumberFormat="1"/>
    <xf numFmtId="43" fontId="0" fillId="0" borderId="0" xfId="2" applyFont="1"/>
    <xf numFmtId="10" fontId="0" fillId="0" borderId="0" xfId="1" applyNumberFormat="1" applyFont="1"/>
    <xf numFmtId="43" fontId="32" fillId="0" borderId="0" xfId="2" applyFont="1" applyFill="1" applyBorder="1" applyAlignment="1">
      <alignment horizontal="center"/>
    </xf>
    <xf numFmtId="169" fontId="30" fillId="0" borderId="0" xfId="0" applyNumberFormat="1" applyFont="1" applyAlignment="1">
      <alignment horizontal="center"/>
    </xf>
    <xf numFmtId="43" fontId="0" fillId="0" borderId="0" xfId="0" applyNumberFormat="1" applyAlignment="1">
      <alignment horizontal="right"/>
    </xf>
    <xf numFmtId="0" fontId="0" fillId="3" borderId="0" xfId="0" applyFill="1"/>
    <xf numFmtId="14" fontId="2" fillId="3" borderId="38" xfId="0" applyNumberFormat="1" applyFont="1" applyFill="1" applyBorder="1" applyAlignment="1">
      <alignment horizontal="center"/>
    </xf>
    <xf numFmtId="1" fontId="0" fillId="3" borderId="38" xfId="0" applyNumberFormat="1" applyFill="1" applyBorder="1"/>
    <xf numFmtId="1" fontId="0" fillId="3" borderId="7" xfId="0" applyNumberFormat="1" applyFill="1" applyBorder="1"/>
    <xf numFmtId="164" fontId="0" fillId="0" borderId="0" xfId="0" applyNumberFormat="1" applyAlignment="1">
      <alignment wrapText="1"/>
    </xf>
    <xf numFmtId="0" fontId="13" fillId="0" borderId="0" xfId="0" applyFont="1" applyAlignment="1">
      <alignment horizontal="left" vertical="center" indent="4"/>
    </xf>
    <xf numFmtId="0" fontId="27" fillId="0" borderId="0" xfId="0" applyFont="1" applyAlignment="1">
      <alignment horizontal="left" vertical="center" indent="4"/>
    </xf>
    <xf numFmtId="0" fontId="2" fillId="5" borderId="50" xfId="0" applyFont="1" applyFill="1" applyBorder="1" applyAlignment="1">
      <alignment horizontal="center" vertical="center" wrapText="1"/>
    </xf>
    <xf numFmtId="164" fontId="2" fillId="0" borderId="51" xfId="2" applyNumberFormat="1" applyFont="1" applyFill="1" applyBorder="1" applyAlignment="1">
      <alignment horizontal="left" vertical="center" wrapText="1"/>
    </xf>
    <xf numFmtId="164" fontId="2" fillId="0" borderId="52" xfId="2" applyNumberFormat="1" applyFont="1" applyFill="1" applyBorder="1" applyAlignment="1">
      <alignment horizontal="left" vertical="center" wrapText="1"/>
    </xf>
    <xf numFmtId="164" fontId="2" fillId="0" borderId="53" xfId="2" applyNumberFormat="1" applyFont="1" applyFill="1" applyBorder="1" applyAlignment="1">
      <alignment vertical="center" wrapText="1"/>
    </xf>
    <xf numFmtId="0" fontId="0" fillId="0" borderId="48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164" fontId="1" fillId="0" borderId="50" xfId="2" applyNumberFormat="1" applyFont="1" applyFill="1" applyBorder="1" applyAlignment="1">
      <alignment horizontal="right" vertical="center" wrapText="1"/>
    </xf>
    <xf numFmtId="0" fontId="1" fillId="0" borderId="50" xfId="0" applyFont="1" applyBorder="1" applyAlignment="1">
      <alignment horizontal="center" vertical="center" wrapText="1"/>
    </xf>
    <xf numFmtId="0" fontId="2" fillId="0" borderId="50" xfId="0" applyFont="1" applyBorder="1" applyAlignment="1">
      <alignment horizontal="left" vertical="center" wrapText="1"/>
    </xf>
    <xf numFmtId="164" fontId="2" fillId="0" borderId="50" xfId="2" applyNumberFormat="1" applyFont="1" applyFill="1" applyBorder="1" applyAlignment="1">
      <alignment horizontal="left" vertical="center" wrapText="1"/>
    </xf>
    <xf numFmtId="0" fontId="2" fillId="5" borderId="55" xfId="0" applyFont="1" applyFill="1" applyBorder="1" applyAlignment="1">
      <alignment horizontal="center" vertical="center" wrapText="1"/>
    </xf>
    <xf numFmtId="14" fontId="0" fillId="0" borderId="0" xfId="0" applyNumberFormat="1"/>
    <xf numFmtId="0" fontId="2" fillId="38" borderId="0" xfId="0" applyFont="1" applyFill="1" applyAlignment="1">
      <alignment vertical="center" wrapText="1"/>
    </xf>
    <xf numFmtId="0" fontId="2" fillId="5" borderId="55" xfId="0" applyFont="1" applyFill="1" applyBorder="1" applyAlignment="1">
      <alignment vertical="center" wrapText="1"/>
    </xf>
    <xf numFmtId="0" fontId="2" fillId="5" borderId="50" xfId="0" applyFont="1" applyFill="1" applyBorder="1" applyAlignment="1">
      <alignment vertical="center" wrapText="1"/>
    </xf>
    <xf numFmtId="164" fontId="1" fillId="0" borderId="50" xfId="0" applyNumberFormat="1" applyFont="1" applyBorder="1" applyAlignment="1">
      <alignment horizontal="center" vertical="center" wrapText="1"/>
    </xf>
    <xf numFmtId="3" fontId="1" fillId="0" borderId="50" xfId="2" applyNumberFormat="1" applyFont="1" applyFill="1" applyBorder="1" applyAlignment="1">
      <alignment horizontal="right" vertical="center" wrapText="1"/>
    </xf>
    <xf numFmtId="3" fontId="0" fillId="0" borderId="23" xfId="2" applyNumberFormat="1" applyFont="1" applyBorder="1"/>
    <xf numFmtId="164" fontId="2" fillId="0" borderId="50" xfId="2" applyNumberFormat="1" applyFont="1" applyFill="1" applyBorder="1" applyAlignment="1">
      <alignment horizontal="right" vertical="center" wrapText="1"/>
    </xf>
    <xf numFmtId="3" fontId="0" fillId="0" borderId="23" xfId="2" applyNumberFormat="1" applyFont="1" applyBorder="1" applyAlignment="1">
      <alignment horizontal="right" vertical="center"/>
    </xf>
    <xf numFmtId="43" fontId="0" fillId="0" borderId="0" xfId="0" applyNumberFormat="1"/>
    <xf numFmtId="3" fontId="36" fillId="0" borderId="1" xfId="0" applyNumberFormat="1" applyFont="1" applyBorder="1" applyAlignment="1">
      <alignment horizontal="right" vertical="center"/>
    </xf>
    <xf numFmtId="0" fontId="2" fillId="39" borderId="1" xfId="0" applyFont="1" applyFill="1" applyBorder="1" applyAlignment="1">
      <alignment horizontal="center" vertical="center"/>
    </xf>
    <xf numFmtId="3" fontId="36" fillId="0" borderId="1" xfId="0" applyNumberFormat="1" applyFont="1" applyBorder="1" applyAlignment="1">
      <alignment horizontal="right"/>
    </xf>
    <xf numFmtId="9" fontId="36" fillId="0" borderId="1" xfId="1" applyFont="1" applyBorder="1" applyAlignment="1">
      <alignment horizontal="right"/>
    </xf>
    <xf numFmtId="3" fontId="0" fillId="0" borderId="1" xfId="0" applyNumberFormat="1" applyBorder="1"/>
    <xf numFmtId="165" fontId="2" fillId="0" borderId="50" xfId="0" applyNumberFormat="1" applyFont="1" applyBorder="1" applyAlignment="1">
      <alignment vertical="center" wrapText="1"/>
    </xf>
    <xf numFmtId="164" fontId="1" fillId="0" borderId="50" xfId="2" applyNumberFormat="1" applyFont="1" applyFill="1" applyBorder="1" applyAlignment="1">
      <alignment vertical="center" wrapText="1"/>
    </xf>
    <xf numFmtId="0" fontId="37" fillId="0" borderId="50" xfId="0" applyFont="1" applyBorder="1" applyAlignment="1">
      <alignment wrapText="1"/>
    </xf>
    <xf numFmtId="0" fontId="37" fillId="0" borderId="50" xfId="0" applyFont="1" applyBorder="1"/>
    <xf numFmtId="0" fontId="0" fillId="0" borderId="50" xfId="0" applyBorder="1" applyAlignment="1">
      <alignment horizontal="center" vertical="center" wrapText="1"/>
    </xf>
    <xf numFmtId="164" fontId="0" fillId="0" borderId="50" xfId="0" applyNumberFormat="1" applyBorder="1" applyAlignment="1">
      <alignment horizontal="center" vertical="center" wrapText="1"/>
    </xf>
    <xf numFmtId="0" fontId="2" fillId="0" borderId="50" xfId="0" applyFont="1" applyBorder="1" applyAlignment="1">
      <alignment vertical="center" wrapText="1"/>
    </xf>
    <xf numFmtId="164" fontId="0" fillId="0" borderId="50" xfId="0" applyNumberFormat="1" applyBorder="1" applyAlignment="1">
      <alignment vertical="center" wrapText="1"/>
    </xf>
    <xf numFmtId="0" fontId="2" fillId="5" borderId="55" xfId="0" applyFont="1" applyFill="1" applyBorder="1" applyAlignment="1">
      <alignment horizontal="center" vertical="center"/>
    </xf>
    <xf numFmtId="0" fontId="2" fillId="0" borderId="0" xfId="0" applyFont="1" applyAlignment="1">
      <alignment vertical="center" wrapText="1"/>
    </xf>
    <xf numFmtId="164" fontId="2" fillId="0" borderId="32" xfId="0" applyNumberFormat="1" applyFont="1" applyBorder="1"/>
    <xf numFmtId="164" fontId="2" fillId="0" borderId="23" xfId="0" applyNumberFormat="1" applyFont="1" applyBorder="1"/>
    <xf numFmtId="0" fontId="2" fillId="5" borderId="50" xfId="0" applyFont="1" applyFill="1" applyBorder="1" applyAlignment="1">
      <alignment horizontal="center" vertical="center"/>
    </xf>
    <xf numFmtId="164" fontId="2" fillId="0" borderId="50" xfId="2" applyNumberFormat="1" applyFont="1" applyFill="1" applyBorder="1" applyAlignment="1">
      <alignment horizontal="center" vertical="center" wrapText="1"/>
    </xf>
    <xf numFmtId="164" fontId="1" fillId="0" borderId="50" xfId="2" applyNumberFormat="1" applyFont="1" applyFill="1" applyBorder="1" applyAlignment="1">
      <alignment horizontal="right" wrapText="1"/>
    </xf>
    <xf numFmtId="164" fontId="2" fillId="38" borderId="0" xfId="0" applyNumberFormat="1" applyFont="1" applyFill="1" applyAlignment="1">
      <alignment vertical="center" wrapText="1"/>
    </xf>
    <xf numFmtId="0" fontId="0" fillId="0" borderId="0" xfId="0" pivotButton="1"/>
    <xf numFmtId="9" fontId="0" fillId="0" borderId="0" xfId="0" applyNumberFormat="1" applyAlignment="1">
      <alignment horizontal="left" indent="1"/>
    </xf>
    <xf numFmtId="14" fontId="0" fillId="0" borderId="0" xfId="0" applyNumberFormat="1" applyAlignment="1">
      <alignment horizontal="left"/>
    </xf>
    <xf numFmtId="14" fontId="2" fillId="40" borderId="1" xfId="0" applyNumberFormat="1" applyFont="1" applyFill="1" applyBorder="1" applyAlignment="1">
      <alignment horizontal="center"/>
    </xf>
    <xf numFmtId="1" fontId="0" fillId="40" borderId="1" xfId="0" applyNumberFormat="1" applyFill="1" applyBorder="1"/>
    <xf numFmtId="43" fontId="0" fillId="0" borderId="0" xfId="0" applyNumberFormat="1" applyAlignment="1">
      <alignment wrapText="1"/>
    </xf>
    <xf numFmtId="164" fontId="1" fillId="0" borderId="50" xfId="2" applyNumberFormat="1" applyFont="1" applyBorder="1" applyAlignment="1">
      <alignment horizontal="right" wrapText="1"/>
    </xf>
    <xf numFmtId="164" fontId="0" fillId="0" borderId="50" xfId="2" applyNumberFormat="1" applyFont="1" applyBorder="1" applyAlignment="1"/>
    <xf numFmtId="170" fontId="2" fillId="0" borderId="0" xfId="1" applyNumberFormat="1" applyFont="1" applyBorder="1" applyAlignment="1">
      <alignment horizontal="center"/>
    </xf>
    <xf numFmtId="164" fontId="0" fillId="0" borderId="50" xfId="2" applyNumberFormat="1" applyFont="1" applyFill="1" applyBorder="1" applyAlignment="1">
      <alignment vertical="center" wrapText="1"/>
    </xf>
    <xf numFmtId="0" fontId="2" fillId="5" borderId="27" xfId="0" applyFont="1" applyFill="1" applyBorder="1" applyAlignment="1">
      <alignment horizontal="center" vertical="center" wrapText="1"/>
    </xf>
    <xf numFmtId="0" fontId="2" fillId="5" borderId="18" xfId="0" applyFont="1" applyFill="1" applyBorder="1" applyAlignment="1">
      <alignment horizontal="center" vertical="center" wrapText="1"/>
    </xf>
    <xf numFmtId="0" fontId="0" fillId="0" borderId="50" xfId="0" applyBorder="1"/>
    <xf numFmtId="0" fontId="0" fillId="0" borderId="50" xfId="0" applyBorder="1" applyAlignment="1">
      <alignment horizontal="center" vertical="center"/>
    </xf>
    <xf numFmtId="164" fontId="0" fillId="0" borderId="50" xfId="0" applyNumberFormat="1" applyBorder="1" applyAlignment="1">
      <alignment horizontal="center" vertical="center"/>
    </xf>
    <xf numFmtId="164" fontId="2" fillId="0" borderId="50" xfId="0" applyNumberFormat="1" applyFont="1" applyBorder="1" applyAlignment="1">
      <alignment horizontal="center" vertical="center"/>
    </xf>
    <xf numFmtId="164" fontId="0" fillId="0" borderId="50" xfId="0" applyNumberFormat="1" applyBorder="1" applyAlignment="1">
      <alignment horizontal="right" vertical="center"/>
    </xf>
    <xf numFmtId="164" fontId="2" fillId="0" borderId="50" xfId="0" applyNumberFormat="1" applyFont="1" applyBorder="1" applyAlignment="1">
      <alignment horizontal="right" vertical="center"/>
    </xf>
    <xf numFmtId="3" fontId="0" fillId="0" borderId="50" xfId="0" applyNumberFormat="1" applyBorder="1" applyAlignment="1">
      <alignment horizontal="right" vertical="center"/>
    </xf>
    <xf numFmtId="0" fontId="2" fillId="0" borderId="23" xfId="0" applyFont="1" applyBorder="1" applyAlignment="1">
      <alignment horizontal="left" vertical="center" wrapText="1"/>
    </xf>
    <xf numFmtId="164" fontId="2" fillId="0" borderId="50" xfId="2" applyNumberFormat="1" applyFont="1" applyFill="1" applyBorder="1" applyAlignment="1">
      <alignment horizontal="right" wrapText="1"/>
    </xf>
    <xf numFmtId="164" fontId="2" fillId="0" borderId="0" xfId="2" applyNumberFormat="1" applyFont="1" applyFill="1" applyBorder="1" applyAlignment="1">
      <alignment horizontal="left" vertical="center" wrapText="1"/>
    </xf>
    <xf numFmtId="164" fontId="2" fillId="0" borderId="0" xfId="2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1" fillId="0" borderId="50" xfId="2" applyNumberFormat="1" applyFont="1" applyFill="1" applyBorder="1" applyAlignment="1">
      <alignment horizontal="right" vertical="center" wrapText="1"/>
    </xf>
    <xf numFmtId="164" fontId="0" fillId="0" borderId="1" xfId="0" applyNumberFormat="1" applyBorder="1"/>
    <xf numFmtId="0" fontId="38" fillId="0" borderId="0" xfId="0" applyFont="1"/>
    <xf numFmtId="0" fontId="2" fillId="5" borderId="57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center" vertical="center" wrapText="1"/>
    </xf>
    <xf numFmtId="164" fontId="1" fillId="0" borderId="23" xfId="2" applyNumberFormat="1" applyFont="1" applyBorder="1" applyAlignment="1">
      <alignment horizontal="right" wrapText="1"/>
    </xf>
    <xf numFmtId="164" fontId="1" fillId="0" borderId="23" xfId="2" applyNumberFormat="1" applyFont="1" applyFill="1" applyBorder="1" applyAlignment="1">
      <alignment horizontal="right" vertical="center" wrapText="1"/>
    </xf>
    <xf numFmtId="164" fontId="1" fillId="0" borderId="56" xfId="2" applyNumberFormat="1" applyFont="1" applyFill="1" applyBorder="1" applyAlignment="1">
      <alignment horizontal="right" vertical="center" wrapText="1"/>
    </xf>
    <xf numFmtId="170" fontId="0" fillId="0" borderId="1" xfId="1" applyNumberFormat="1" applyFont="1" applyBorder="1" applyAlignment="1"/>
    <xf numFmtId="164" fontId="2" fillId="0" borderId="58" xfId="2" applyNumberFormat="1" applyFont="1" applyFill="1" applyBorder="1" applyAlignment="1">
      <alignment horizontal="left" vertical="center" wrapText="1"/>
    </xf>
    <xf numFmtId="164" fontId="1" fillId="0" borderId="0" xfId="2" applyNumberFormat="1" applyFont="1" applyFill="1" applyBorder="1" applyAlignment="1">
      <alignment horizontal="right" vertical="center" wrapText="1"/>
    </xf>
    <xf numFmtId="164" fontId="2" fillId="0" borderId="0" xfId="2" applyNumberFormat="1" applyFont="1" applyFill="1" applyBorder="1" applyAlignment="1">
      <alignment horizontal="right" vertical="center" wrapText="1"/>
    </xf>
    <xf numFmtId="164" fontId="2" fillId="0" borderId="0" xfId="0" applyNumberFormat="1" applyFont="1"/>
    <xf numFmtId="164" fontId="2" fillId="0" borderId="56" xfId="0" applyNumberFormat="1" applyFont="1" applyBorder="1"/>
    <xf numFmtId="164" fontId="2" fillId="0" borderId="50" xfId="0" applyNumberFormat="1" applyFont="1" applyBorder="1"/>
    <xf numFmtId="0" fontId="1" fillId="0" borderId="0" xfId="0" applyFont="1" applyAlignment="1">
      <alignment horizontal="center" vertical="center" wrapText="1"/>
    </xf>
    <xf numFmtId="164" fontId="1" fillId="0" borderId="0" xfId="2" applyNumberFormat="1" applyFont="1" applyFill="1" applyBorder="1" applyAlignment="1">
      <alignment vertical="center" wrapText="1"/>
    </xf>
    <xf numFmtId="0" fontId="0" fillId="0" borderId="0" xfId="0" applyAlignment="1">
      <alignment horizontal="left" vertical="center" wrapText="1"/>
    </xf>
    <xf numFmtId="164" fontId="1" fillId="0" borderId="50" xfId="2" applyNumberFormat="1" applyFont="1" applyBorder="1" applyAlignment="1">
      <alignment horizontal="center" vertical="center" wrapText="1"/>
    </xf>
    <xf numFmtId="164" fontId="2" fillId="0" borderId="55" xfId="2" applyNumberFormat="1" applyFont="1" applyFill="1" applyBorder="1" applyAlignment="1">
      <alignment horizontal="left" vertical="center" wrapText="1"/>
    </xf>
    <xf numFmtId="164" fontId="2" fillId="0" borderId="55" xfId="2" applyNumberFormat="1" applyFont="1" applyFill="1" applyBorder="1" applyAlignment="1">
      <alignment horizontal="center" vertical="center" wrapText="1"/>
    </xf>
    <xf numFmtId="164" fontId="2" fillId="0" borderId="62" xfId="2" applyNumberFormat="1" applyFont="1" applyFill="1" applyBorder="1" applyAlignment="1">
      <alignment horizontal="left" vertical="center" wrapText="1"/>
    </xf>
    <xf numFmtId="0" fontId="0" fillId="0" borderId="62" xfId="0" applyBorder="1"/>
    <xf numFmtId="0" fontId="0" fillId="0" borderId="63" xfId="0" applyBorder="1"/>
    <xf numFmtId="164" fontId="27" fillId="0" borderId="1" xfId="2" applyNumberFormat="1" applyFont="1" applyFill="1" applyBorder="1" applyAlignment="1">
      <alignment vertical="center" wrapText="1"/>
    </xf>
    <xf numFmtId="0" fontId="2" fillId="5" borderId="18" xfId="0" applyFont="1" applyFill="1" applyBorder="1" applyAlignment="1">
      <alignment vertical="center" wrapText="1"/>
    </xf>
    <xf numFmtId="0" fontId="36" fillId="0" borderId="1" xfId="0" applyFont="1" applyBorder="1" applyAlignment="1">
      <alignment vertical="center"/>
    </xf>
    <xf numFmtId="0" fontId="41" fillId="5" borderId="1" xfId="0" applyFont="1" applyFill="1" applyBorder="1" applyAlignment="1">
      <alignment vertical="center"/>
    </xf>
    <xf numFmtId="0" fontId="41" fillId="5" borderId="1" xfId="0" applyFont="1" applyFill="1" applyBorder="1" applyAlignment="1">
      <alignment vertical="center" wrapText="1"/>
    </xf>
    <xf numFmtId="164" fontId="36" fillId="0" borderId="1" xfId="2" applyNumberFormat="1" applyFont="1" applyBorder="1" applyAlignment="1">
      <alignment vertical="center"/>
    </xf>
    <xf numFmtId="164" fontId="36" fillId="0" borderId="1" xfId="0" applyNumberFormat="1" applyFont="1" applyBorder="1" applyAlignment="1">
      <alignment vertical="center"/>
    </xf>
    <xf numFmtId="9" fontId="36" fillId="0" borderId="1" xfId="1" applyFont="1" applyBorder="1" applyAlignment="1">
      <alignment vertical="center" wrapText="1"/>
    </xf>
    <xf numFmtId="0" fontId="40" fillId="0" borderId="0" xfId="0" applyFont="1"/>
    <xf numFmtId="0" fontId="40" fillId="0" borderId="0" xfId="0" applyFont="1" applyAlignment="1">
      <alignment vertical="center" wrapText="1"/>
    </xf>
    <xf numFmtId="9" fontId="36" fillId="0" borderId="1" xfId="1" applyFont="1" applyBorder="1" applyAlignment="1">
      <alignment vertical="center"/>
    </xf>
    <xf numFmtId="0" fontId="2" fillId="5" borderId="1" xfId="0" applyFont="1" applyFill="1" applyBorder="1" applyAlignment="1">
      <alignment vertical="center"/>
    </xf>
    <xf numFmtId="0" fontId="41" fillId="5" borderId="50" xfId="0" applyFont="1" applyFill="1" applyBorder="1" applyAlignment="1">
      <alignment horizontal="center" vertical="center"/>
    </xf>
    <xf numFmtId="0" fontId="41" fillId="5" borderId="56" xfId="0" applyFont="1" applyFill="1" applyBorder="1" applyAlignment="1">
      <alignment horizontal="center" vertical="center" wrapText="1"/>
    </xf>
    <xf numFmtId="0" fontId="41" fillId="5" borderId="56" xfId="0" applyFont="1" applyFill="1" applyBorder="1" applyAlignment="1">
      <alignment horizontal="center" vertical="center"/>
    </xf>
    <xf numFmtId="0" fontId="42" fillId="5" borderId="56" xfId="0" applyFont="1" applyFill="1" applyBorder="1" applyAlignment="1">
      <alignment horizontal="center" vertical="center" wrapText="1"/>
    </xf>
    <xf numFmtId="0" fontId="36" fillId="0" borderId="65" xfId="0" applyFont="1" applyBorder="1" applyAlignment="1">
      <alignment vertical="center" wrapText="1"/>
    </xf>
    <xf numFmtId="3" fontId="36" fillId="0" borderId="65" xfId="0" applyNumberFormat="1" applyFont="1" applyBorder="1" applyAlignment="1">
      <alignment horizontal="right" vertical="center"/>
    </xf>
    <xf numFmtId="9" fontId="36" fillId="0" borderId="65" xfId="0" applyNumberFormat="1" applyFont="1" applyBorder="1" applyAlignment="1">
      <alignment horizontal="right" vertical="center"/>
    </xf>
    <xf numFmtId="0" fontId="41" fillId="0" borderId="0" xfId="0" applyFont="1" applyAlignment="1">
      <alignment vertical="center"/>
    </xf>
    <xf numFmtId="0" fontId="36" fillId="0" borderId="0" xfId="0" applyFont="1" applyAlignment="1">
      <alignment vertical="center" wrapText="1"/>
    </xf>
    <xf numFmtId="0" fontId="36" fillId="0" borderId="0" xfId="0" applyFont="1" applyAlignment="1">
      <alignment horizontal="right" vertical="center"/>
    </xf>
    <xf numFmtId="9" fontId="36" fillId="0" borderId="0" xfId="0" applyNumberFormat="1" applyFont="1" applyAlignment="1">
      <alignment horizontal="right" vertical="center"/>
    </xf>
    <xf numFmtId="1" fontId="36" fillId="0" borderId="65" xfId="0" applyNumberFormat="1" applyFont="1" applyBorder="1" applyAlignment="1">
      <alignment horizontal="right" vertical="center"/>
    </xf>
    <xf numFmtId="164" fontId="27" fillId="0" borderId="0" xfId="0" applyNumberFormat="1" applyFont="1"/>
    <xf numFmtId="43" fontId="27" fillId="0" borderId="0" xfId="0" applyNumberFormat="1" applyFont="1"/>
    <xf numFmtId="10" fontId="0" fillId="0" borderId="1" xfId="1" applyNumberFormat="1" applyFont="1" applyBorder="1" applyAlignment="1"/>
    <xf numFmtId="164" fontId="36" fillId="0" borderId="1" xfId="0" applyNumberFormat="1" applyFont="1" applyBorder="1" applyAlignment="1">
      <alignment horizontal="right" vertical="center"/>
    </xf>
    <xf numFmtId="164" fontId="1" fillId="3" borderId="50" xfId="2" applyNumberFormat="1" applyFont="1" applyFill="1" applyBorder="1" applyAlignment="1">
      <alignment horizontal="right" vertical="center" wrapText="1"/>
    </xf>
    <xf numFmtId="164" fontId="0" fillId="0" borderId="1" xfId="2" applyNumberFormat="1" applyFont="1" applyFill="1" applyBorder="1" applyAlignment="1">
      <alignment horizontal="left"/>
    </xf>
    <xf numFmtId="3" fontId="13" fillId="0" borderId="1" xfId="0" applyNumberFormat="1" applyFont="1" applyBorder="1"/>
    <xf numFmtId="1" fontId="36" fillId="0" borderId="0" xfId="0" applyNumberFormat="1" applyFont="1" applyAlignment="1">
      <alignment horizontal="right" vertical="center"/>
    </xf>
    <xf numFmtId="164" fontId="1" fillId="0" borderId="1" xfId="2" applyNumberFormat="1" applyFont="1" applyFill="1" applyBorder="1" applyAlignment="1">
      <alignment horizontal="left" vertical="center" wrapText="1"/>
    </xf>
    <xf numFmtId="0" fontId="0" fillId="0" borderId="51" xfId="0" applyBorder="1"/>
    <xf numFmtId="172" fontId="44" fillId="5" borderId="1" xfId="49" applyNumberFormat="1" applyFont="1" applyFill="1" applyBorder="1" applyAlignment="1">
      <alignment horizontal="center"/>
    </xf>
    <xf numFmtId="0" fontId="44" fillId="5" borderId="1" xfId="45" applyFont="1" applyFill="1" applyBorder="1" applyAlignment="1">
      <alignment horizontal="center" vertical="center"/>
    </xf>
    <xf numFmtId="0" fontId="11" fillId="0" borderId="1" xfId="45" applyFont="1" applyBorder="1"/>
    <xf numFmtId="43" fontId="11" fillId="0" borderId="1" xfId="50" applyFont="1" applyFill="1" applyBorder="1" applyAlignment="1">
      <alignment horizontal="right"/>
    </xf>
    <xf numFmtId="2" fontId="11" fillId="0" borderId="1" xfId="50" applyNumberFormat="1" applyFont="1" applyFill="1" applyBorder="1" applyAlignment="1">
      <alignment horizontal="right"/>
    </xf>
    <xf numFmtId="9" fontId="11" fillId="0" borderId="1" xfId="51" applyFont="1" applyFill="1" applyBorder="1" applyAlignment="1">
      <alignment horizontal="right"/>
    </xf>
    <xf numFmtId="164" fontId="11" fillId="0" borderId="1" xfId="50" applyNumberFormat="1" applyFont="1" applyFill="1" applyBorder="1" applyAlignment="1">
      <alignment horizontal="right"/>
    </xf>
    <xf numFmtId="171" fontId="11" fillId="0" borderId="1" xfId="49" applyFont="1" applyFill="1" applyBorder="1" applyAlignment="1">
      <alignment horizontal="right"/>
    </xf>
    <xf numFmtId="172" fontId="11" fillId="0" borderId="0" xfId="49" applyNumberFormat="1" applyFont="1" applyFill="1" applyBorder="1" applyAlignment="1"/>
    <xf numFmtId="43" fontId="11" fillId="0" borderId="1" xfId="2" applyFont="1" applyFill="1" applyBorder="1" applyAlignment="1">
      <alignment horizontal="right"/>
    </xf>
    <xf numFmtId="14" fontId="11" fillId="0" borderId="38" xfId="49" applyNumberFormat="1" applyFont="1" applyFill="1" applyBorder="1" applyAlignment="1">
      <alignment horizontal="right"/>
    </xf>
    <xf numFmtId="172" fontId="11" fillId="0" borderId="1" xfId="49" applyNumberFormat="1" applyFont="1" applyFill="1" applyBorder="1" applyAlignment="1"/>
    <xf numFmtId="14" fontId="11" fillId="0" borderId="1" xfId="49" applyNumberFormat="1" applyFont="1" applyFill="1" applyBorder="1" applyAlignment="1">
      <alignment horizontal="right"/>
    </xf>
    <xf numFmtId="172" fontId="11" fillId="0" borderId="1" xfId="49" applyNumberFormat="1" applyFont="1" applyFill="1" applyBorder="1" applyAlignment="1">
      <alignment horizontal="right"/>
    </xf>
    <xf numFmtId="0" fontId="30" fillId="0" borderId="1" xfId="0" applyFont="1" applyBorder="1" applyAlignment="1">
      <alignment horizontal="right" vertical="center"/>
    </xf>
    <xf numFmtId="173" fontId="11" fillId="0" borderId="1" xfId="2" applyNumberFormat="1" applyFont="1" applyFill="1" applyBorder="1" applyAlignment="1">
      <alignment horizontal="right"/>
    </xf>
    <xf numFmtId="172" fontId="11" fillId="3" borderId="1" xfId="49" applyNumberFormat="1" applyFont="1" applyFill="1" applyBorder="1" applyAlignment="1">
      <alignment horizontal="right"/>
    </xf>
    <xf numFmtId="172" fontId="10" fillId="0" borderId="0" xfId="49" applyNumberFormat="1" applyFont="1" applyFill="1" applyBorder="1" applyAlignment="1"/>
    <xf numFmtId="172" fontId="10" fillId="0" borderId="1" xfId="49" applyNumberFormat="1" applyFont="1" applyFill="1" applyBorder="1" applyAlignment="1"/>
    <xf numFmtId="9" fontId="11" fillId="0" borderId="1" xfId="1" applyFont="1" applyFill="1" applyBorder="1" applyAlignment="1"/>
    <xf numFmtId="172" fontId="10" fillId="5" borderId="1" xfId="49" applyNumberFormat="1" applyFont="1" applyFill="1" applyBorder="1" applyAlignment="1"/>
    <xf numFmtId="14" fontId="11" fillId="5" borderId="1" xfId="49" applyNumberFormat="1" applyFont="1" applyFill="1" applyBorder="1" applyAlignment="1">
      <alignment horizontal="right"/>
    </xf>
    <xf numFmtId="0" fontId="41" fillId="0" borderId="18" xfId="0" applyFont="1" applyBorder="1" applyAlignment="1">
      <alignment vertical="center"/>
    </xf>
    <xf numFmtId="4" fontId="36" fillId="0" borderId="65" xfId="0" applyNumberFormat="1" applyFont="1" applyBorder="1" applyAlignment="1">
      <alignment horizontal="right" vertical="center"/>
    </xf>
    <xf numFmtId="43" fontId="36" fillId="0" borderId="65" xfId="2" applyFont="1" applyBorder="1" applyAlignment="1">
      <alignment horizontal="right" vertical="center"/>
    </xf>
    <xf numFmtId="0" fontId="39" fillId="0" borderId="0" xfId="0" applyFont="1"/>
    <xf numFmtId="0" fontId="10" fillId="4" borderId="0" xfId="0" applyFont="1" applyFill="1" applyAlignment="1">
      <alignment horizontal="left" vertical="center"/>
    </xf>
    <xf numFmtId="0" fontId="2" fillId="0" borderId="50" xfId="0" applyFont="1" applyBorder="1" applyAlignment="1">
      <alignment horizontal="left" vertical="center"/>
    </xf>
    <xf numFmtId="0" fontId="2" fillId="0" borderId="50" xfId="0" applyFont="1" applyBorder="1" applyAlignment="1">
      <alignment horizontal="left"/>
    </xf>
    <xf numFmtId="0" fontId="2" fillId="0" borderId="23" xfId="0" applyFont="1" applyBorder="1" applyAlignment="1">
      <alignment vertical="center" wrapText="1"/>
    </xf>
    <xf numFmtId="0" fontId="2" fillId="5" borderId="55" xfId="0" applyFont="1" applyFill="1" applyBorder="1" applyAlignment="1">
      <alignment horizontal="left" vertical="center" wrapText="1"/>
    </xf>
    <xf numFmtId="164" fontId="1" fillId="0" borderId="50" xfId="2" applyNumberFormat="1" applyFont="1" applyBorder="1" applyAlignment="1"/>
    <xf numFmtId="0" fontId="2" fillId="0" borderId="1" xfId="0" applyFont="1" applyBorder="1" applyAlignment="1">
      <alignment horizontal="left" vertical="center" wrapText="1"/>
    </xf>
    <xf numFmtId="164" fontId="1" fillId="0" borderId="1" xfId="2" applyNumberFormat="1" applyFont="1" applyBorder="1" applyAlignment="1">
      <alignment horizontal="right" wrapText="1"/>
    </xf>
    <xf numFmtId="0" fontId="12" fillId="0" borderId="0" xfId="0" applyFont="1" applyAlignment="1">
      <alignment vertical="center" wrapText="1"/>
    </xf>
    <xf numFmtId="1" fontId="0" fillId="38" borderId="38" xfId="0" applyNumberFormat="1" applyFill="1" applyBorder="1"/>
    <xf numFmtId="14" fontId="2" fillId="38" borderId="1" xfId="0" applyNumberFormat="1" applyFont="1" applyFill="1" applyBorder="1" applyAlignment="1">
      <alignment horizontal="center"/>
    </xf>
    <xf numFmtId="1" fontId="0" fillId="38" borderId="1" xfId="0" applyNumberFormat="1" applyFill="1" applyBorder="1"/>
    <xf numFmtId="0" fontId="2" fillId="38" borderId="0" xfId="0" applyFont="1" applyFill="1" applyAlignment="1">
      <alignment vertical="center"/>
    </xf>
    <xf numFmtId="1" fontId="27" fillId="38" borderId="1" xfId="0" applyNumberFormat="1" applyFont="1" applyFill="1" applyBorder="1"/>
    <xf numFmtId="164" fontId="0" fillId="0" borderId="50" xfId="2" applyNumberFormat="1" applyFont="1" applyFill="1" applyBorder="1" applyAlignment="1"/>
    <xf numFmtId="1" fontId="0" fillId="3" borderId="0" xfId="0" applyNumberFormat="1" applyFill="1"/>
    <xf numFmtId="0" fontId="26" fillId="42" borderId="1" xfId="0" applyFont="1" applyFill="1" applyBorder="1"/>
    <xf numFmtId="1" fontId="0" fillId="43" borderId="1" xfId="0" applyNumberFormat="1" applyFill="1" applyBorder="1"/>
    <xf numFmtId="1" fontId="0" fillId="44" borderId="1" xfId="0" applyNumberFormat="1" applyFill="1" applyBorder="1"/>
    <xf numFmtId="0" fontId="0" fillId="0" borderId="66" xfId="0" applyBorder="1"/>
    <xf numFmtId="0" fontId="0" fillId="0" borderId="67" xfId="0" applyBorder="1"/>
    <xf numFmtId="1" fontId="0" fillId="38" borderId="68" xfId="0" applyNumberFormat="1" applyFill="1" applyBorder="1"/>
    <xf numFmtId="0" fontId="47" fillId="0" borderId="0" xfId="0" applyFont="1" applyAlignment="1">
      <alignment vertical="center" wrapText="1"/>
    </xf>
    <xf numFmtId="0" fontId="48" fillId="0" borderId="0" xfId="0" applyFont="1"/>
    <xf numFmtId="0" fontId="46" fillId="0" borderId="0" xfId="0" applyFont="1"/>
    <xf numFmtId="1" fontId="0" fillId="38" borderId="5" xfId="0" applyNumberFormat="1" applyFill="1" applyBorder="1"/>
    <xf numFmtId="164" fontId="1" fillId="0" borderId="1" xfId="2" applyNumberFormat="1" applyFont="1" applyBorder="1" applyAlignment="1"/>
    <xf numFmtId="164" fontId="0" fillId="0" borderId="1" xfId="2" applyNumberFormat="1" applyFont="1" applyFill="1" applyBorder="1" applyAlignment="1"/>
    <xf numFmtId="43" fontId="0" fillId="0" borderId="0" xfId="2" applyFont="1" applyBorder="1"/>
    <xf numFmtId="1" fontId="0" fillId="38" borderId="0" xfId="0" applyNumberFormat="1" applyFill="1"/>
    <xf numFmtId="9" fontId="2" fillId="0" borderId="64" xfId="1" applyFont="1" applyFill="1" applyBorder="1" applyAlignment="1">
      <alignment horizontal="right" vertical="center" wrapText="1"/>
    </xf>
    <xf numFmtId="1" fontId="0" fillId="0" borderId="4" xfId="0" applyNumberFormat="1" applyBorder="1"/>
    <xf numFmtId="0" fontId="50" fillId="5" borderId="55" xfId="0" applyFont="1" applyFill="1" applyBorder="1" applyAlignment="1">
      <alignment horizontal="left" vertical="center" wrapText="1"/>
    </xf>
    <xf numFmtId="0" fontId="50" fillId="5" borderId="55" xfId="0" applyFont="1" applyFill="1" applyBorder="1" applyAlignment="1">
      <alignment vertical="center" wrapText="1"/>
    </xf>
    <xf numFmtId="0" fontId="50" fillId="0" borderId="50" xfId="0" applyFont="1" applyBorder="1" applyAlignment="1">
      <alignment horizontal="left" vertical="center" wrapText="1"/>
    </xf>
    <xf numFmtId="164" fontId="51" fillId="0" borderId="1" xfId="0" applyNumberFormat="1" applyFont="1" applyBorder="1"/>
    <xf numFmtId="164" fontId="50" fillId="0" borderId="50" xfId="2" applyNumberFormat="1" applyFont="1" applyFill="1" applyBorder="1" applyAlignment="1">
      <alignment horizontal="left" vertical="center" wrapText="1"/>
    </xf>
    <xf numFmtId="0" fontId="51" fillId="0" borderId="0" xfId="0" applyFont="1"/>
    <xf numFmtId="0" fontId="50" fillId="0" borderId="1" xfId="0" applyFont="1" applyBorder="1"/>
    <xf numFmtId="10" fontId="50" fillId="0" borderId="1" xfId="1" applyNumberFormat="1" applyFont="1" applyBorder="1"/>
    <xf numFmtId="164" fontId="36" fillId="0" borderId="1" xfId="2" applyNumberFormat="1" applyFont="1" applyBorder="1" applyAlignment="1">
      <alignment horizontal="right" vertical="center"/>
    </xf>
    <xf numFmtId="1" fontId="0" fillId="0" borderId="7" xfId="2" applyNumberFormat="1" applyFont="1" applyBorder="1" applyAlignment="1"/>
    <xf numFmtId="164" fontId="1" fillId="0" borderId="18" xfId="2" applyNumberFormat="1" applyFont="1" applyFill="1" applyBorder="1" applyAlignment="1">
      <alignment horizontal="right" vertical="center" wrapText="1"/>
    </xf>
    <xf numFmtId="164" fontId="2" fillId="0" borderId="18" xfId="0" applyNumberFormat="1" applyFont="1" applyBorder="1"/>
    <xf numFmtId="164" fontId="2" fillId="0" borderId="69" xfId="0" applyNumberFormat="1" applyFont="1" applyBorder="1"/>
    <xf numFmtId="14" fontId="2" fillId="38" borderId="38" xfId="0" applyNumberFormat="1" applyFont="1" applyFill="1" applyBorder="1" applyAlignment="1">
      <alignment horizontal="center"/>
    </xf>
    <xf numFmtId="0" fontId="2" fillId="0" borderId="18" xfId="0" applyFont="1" applyBorder="1" applyAlignment="1">
      <alignment horizontal="left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64" fontId="1" fillId="0" borderId="1" xfId="2" applyNumberFormat="1" applyFont="1" applyFill="1" applyBorder="1" applyAlignment="1">
      <alignment horizontal="right" vertical="center" wrapText="1"/>
    </xf>
    <xf numFmtId="164" fontId="0" fillId="0" borderId="70" xfId="0" applyNumberFormat="1" applyBorder="1"/>
    <xf numFmtId="0" fontId="52" fillId="0" borderId="0" xfId="0" applyFont="1" applyAlignment="1">
      <alignment vertical="center"/>
    </xf>
    <xf numFmtId="0" fontId="53" fillId="0" borderId="0" xfId="0" applyFont="1" applyAlignment="1">
      <alignment vertical="center"/>
    </xf>
    <xf numFmtId="0" fontId="54" fillId="0" borderId="0" xfId="0" applyFont="1" applyAlignment="1">
      <alignment vertical="center"/>
    </xf>
    <xf numFmtId="164" fontId="1" fillId="0" borderId="50" xfId="2" applyNumberFormat="1" applyFont="1" applyBorder="1" applyAlignment="1">
      <alignment horizontal="right" vertical="center" wrapText="1"/>
    </xf>
    <xf numFmtId="0" fontId="58" fillId="0" borderId="0" xfId="0" applyFont="1"/>
    <xf numFmtId="164" fontId="0" fillId="0" borderId="50" xfId="0" applyNumberFormat="1" applyBorder="1" applyAlignment="1">
      <alignment horizontal="right" vertical="center" wrapText="1"/>
    </xf>
    <xf numFmtId="164" fontId="0" fillId="0" borderId="50" xfId="2" applyNumberFormat="1" applyFont="1" applyFill="1" applyBorder="1" applyAlignment="1">
      <alignment horizontal="right" vertical="center" wrapText="1"/>
    </xf>
    <xf numFmtId="164" fontId="1" fillId="0" borderId="50" xfId="2" applyNumberFormat="1" applyFont="1" applyBorder="1" applyAlignment="1">
      <alignment horizontal="right" vertical="center"/>
    </xf>
    <xf numFmtId="164" fontId="0" fillId="0" borderId="50" xfId="2" applyNumberFormat="1" applyFont="1" applyFill="1" applyBorder="1" applyAlignment="1">
      <alignment horizontal="right" vertical="center"/>
    </xf>
    <xf numFmtId="164" fontId="0" fillId="0" borderId="50" xfId="2" applyNumberFormat="1" applyFont="1" applyBorder="1" applyAlignment="1">
      <alignment horizontal="right" vertical="center"/>
    </xf>
    <xf numFmtId="0" fontId="36" fillId="0" borderId="0" xfId="0" applyFont="1" applyAlignment="1">
      <alignment vertical="center"/>
    </xf>
    <xf numFmtId="0" fontId="59" fillId="0" borderId="0" xfId="0" applyFont="1" applyAlignment="1">
      <alignment vertical="center"/>
    </xf>
    <xf numFmtId="0" fontId="60" fillId="0" borderId="0" xfId="0" applyFont="1" applyAlignment="1">
      <alignment vertical="center"/>
    </xf>
    <xf numFmtId="0" fontId="41" fillId="5" borderId="1" xfId="0" applyFont="1" applyFill="1" applyBorder="1" applyAlignment="1">
      <alignment horizontal="center" vertical="center" wrapText="1"/>
    </xf>
    <xf numFmtId="16" fontId="0" fillId="0" borderId="0" xfId="0" applyNumberFormat="1"/>
    <xf numFmtId="10" fontId="57" fillId="0" borderId="0" xfId="0" applyNumberFormat="1" applyFont="1" applyAlignment="1">
      <alignment horizontal="center"/>
    </xf>
    <xf numFmtId="1" fontId="0" fillId="0" borderId="1" xfId="0" applyNumberFormat="1" applyBorder="1" applyAlignment="1">
      <alignment horizontal="right" vertical="center"/>
    </xf>
    <xf numFmtId="0" fontId="2" fillId="0" borderId="1" xfId="0" applyFont="1" applyBorder="1" applyAlignment="1">
      <alignment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vertical="center" wrapText="1"/>
    </xf>
    <xf numFmtId="0" fontId="58" fillId="0" borderId="0" xfId="0" applyFont="1" applyAlignment="1">
      <alignment vertical="center"/>
    </xf>
    <xf numFmtId="14" fontId="2" fillId="0" borderId="0" xfId="0" applyNumberFormat="1" applyFont="1" applyAlignment="1">
      <alignment horizontal="left"/>
    </xf>
    <xf numFmtId="164" fontId="0" fillId="0" borderId="1" xfId="2" applyNumberFormat="1" applyFont="1" applyBorder="1" applyAlignment="1">
      <alignment horizontal="right" vertical="center"/>
    </xf>
    <xf numFmtId="164" fontId="2" fillId="0" borderId="1" xfId="2" applyNumberFormat="1" applyFont="1" applyBorder="1" applyAlignment="1">
      <alignment horizontal="right" vertical="center"/>
    </xf>
    <xf numFmtId="10" fontId="57" fillId="0" borderId="0" xfId="0" applyNumberFormat="1" applyFont="1" applyAlignment="1">
      <alignment horizontal="left" vertical="center"/>
    </xf>
    <xf numFmtId="3" fontId="13" fillId="0" borderId="0" xfId="0" applyNumberFormat="1" applyFont="1"/>
    <xf numFmtId="1" fontId="13" fillId="0" borderId="1" xfId="0" applyNumberFormat="1" applyFont="1" applyBorder="1"/>
    <xf numFmtId="14" fontId="2" fillId="38" borderId="5" xfId="0" applyNumberFormat="1" applyFont="1" applyFill="1" applyBorder="1" applyAlignment="1">
      <alignment horizontal="center"/>
    </xf>
    <xf numFmtId="164" fontId="1" fillId="0" borderId="5" xfId="2" applyNumberFormat="1" applyFont="1" applyBorder="1" applyAlignment="1"/>
    <xf numFmtId="164" fontId="0" fillId="0" borderId="5" xfId="2" applyNumberFormat="1" applyFont="1" applyFill="1" applyBorder="1" applyAlignment="1"/>
    <xf numFmtId="0" fontId="36" fillId="0" borderId="1" xfId="0" applyFont="1" applyBorder="1" applyAlignment="1">
      <alignment horizontal="right" vertical="center"/>
    </xf>
    <xf numFmtId="43" fontId="11" fillId="4" borderId="34" xfId="2" applyFont="1" applyFill="1" applyBorder="1" applyAlignment="1">
      <alignment wrapText="1"/>
    </xf>
    <xf numFmtId="0" fontId="10" fillId="4" borderId="55" xfId="0" applyFont="1" applyFill="1" applyBorder="1" applyAlignment="1">
      <alignment horizontal="left" vertical="center"/>
    </xf>
    <xf numFmtId="0" fontId="10" fillId="4" borderId="57" xfId="0" applyFont="1" applyFill="1" applyBorder="1" applyAlignment="1">
      <alignment horizontal="left" vertical="center"/>
    </xf>
    <xf numFmtId="0" fontId="10" fillId="4" borderId="56" xfId="0" applyFont="1" applyFill="1" applyBorder="1" applyAlignment="1">
      <alignment horizontal="left" vertical="center"/>
    </xf>
    <xf numFmtId="14" fontId="2" fillId="38" borderId="0" xfId="0" applyNumberFormat="1" applyFont="1" applyFill="1" applyAlignment="1">
      <alignment horizontal="center"/>
    </xf>
    <xf numFmtId="164" fontId="1" fillId="0" borderId="0" xfId="2" applyNumberFormat="1" applyFont="1" applyBorder="1" applyAlignment="1"/>
    <xf numFmtId="164" fontId="0" fillId="0" borderId="0" xfId="2" applyNumberFormat="1" applyFont="1" applyFill="1" applyBorder="1" applyAlignment="1"/>
    <xf numFmtId="0" fontId="0" fillId="0" borderId="74" xfId="0" applyBorder="1"/>
    <xf numFmtId="0" fontId="0" fillId="0" borderId="75" xfId="0" applyBorder="1"/>
    <xf numFmtId="0" fontId="0" fillId="0" borderId="76" xfId="0" applyBorder="1"/>
    <xf numFmtId="0" fontId="0" fillId="0" borderId="77" xfId="0" applyBorder="1"/>
    <xf numFmtId="0" fontId="0" fillId="0" borderId="78" xfId="0" applyBorder="1"/>
    <xf numFmtId="0" fontId="0" fillId="0" borderId="79" xfId="0" applyBorder="1"/>
    <xf numFmtId="0" fontId="0" fillId="0" borderId="80" xfId="0" applyBorder="1"/>
    <xf numFmtId="0" fontId="0" fillId="0" borderId="81" xfId="0" applyBorder="1"/>
    <xf numFmtId="0" fontId="0" fillId="0" borderId="82" xfId="0" applyBorder="1"/>
    <xf numFmtId="9" fontId="36" fillId="0" borderId="1" xfId="1" applyFont="1" applyBorder="1" applyAlignment="1">
      <alignment horizontal="right" vertical="center" wrapText="1"/>
    </xf>
    <xf numFmtId="9" fontId="36" fillId="0" borderId="1" xfId="1" applyFont="1" applyBorder="1" applyAlignment="1">
      <alignment horizontal="right" vertical="center"/>
    </xf>
    <xf numFmtId="10" fontId="0" fillId="0" borderId="0" xfId="0" applyNumberFormat="1" applyAlignment="1">
      <alignment horizontal="left"/>
    </xf>
    <xf numFmtId="9" fontId="36" fillId="0" borderId="65" xfId="1" applyFont="1" applyBorder="1" applyAlignment="1">
      <alignment horizontal="right" vertical="center"/>
    </xf>
    <xf numFmtId="164" fontId="1" fillId="0" borderId="1" xfId="2" applyNumberFormat="1" applyFont="1" applyBorder="1" applyAlignment="1">
      <alignment horizontal="righ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right" vertical="center" wrapText="1"/>
    </xf>
    <xf numFmtId="1" fontId="0" fillId="0" borderId="70" xfId="0" applyNumberFormat="1" applyBorder="1"/>
    <xf numFmtId="1" fontId="0" fillId="0" borderId="0" xfId="2" applyNumberFormat="1" applyFont="1" applyBorder="1" applyAlignment="1"/>
    <xf numFmtId="1" fontId="0" fillId="0" borderId="1" xfId="0" applyNumberFormat="1" applyBorder="1" applyAlignment="1">
      <alignment horizontal="right" vertical="center" wrapText="1"/>
    </xf>
    <xf numFmtId="14" fontId="0" fillId="45" borderId="1" xfId="0" applyNumberFormat="1" applyFill="1" applyBorder="1"/>
    <xf numFmtId="0" fontId="26" fillId="42" borderId="1" xfId="0" applyFont="1" applyFill="1" applyBorder="1" applyAlignment="1">
      <alignment horizontal="center"/>
    </xf>
    <xf numFmtId="3" fontId="0" fillId="45" borderId="1" xfId="0" applyNumberFormat="1" applyFill="1" applyBorder="1"/>
    <xf numFmtId="0" fontId="2" fillId="3" borderId="71" xfId="0" applyFont="1" applyFill="1" applyBorder="1" applyAlignment="1">
      <alignment vertical="center" wrapText="1"/>
    </xf>
    <xf numFmtId="0" fontId="2" fillId="3" borderId="71" xfId="0" applyFont="1" applyFill="1" applyBorder="1" applyAlignment="1">
      <alignment horizontal="left" vertical="center" wrapText="1"/>
    </xf>
    <xf numFmtId="1" fontId="36" fillId="0" borderId="1" xfId="0" applyNumberFormat="1" applyFont="1" applyBorder="1" applyAlignment="1">
      <alignment horizontal="right" vertical="center"/>
    </xf>
    <xf numFmtId="0" fontId="0" fillId="0" borderId="1" xfId="0" applyBorder="1" applyAlignment="1">
      <alignment horizontal="left" vertical="center"/>
    </xf>
    <xf numFmtId="0" fontId="2" fillId="46" borderId="1" xfId="0" applyFont="1" applyFill="1" applyBorder="1"/>
    <xf numFmtId="0" fontId="0" fillId="43" borderId="1" xfId="0" applyFill="1" applyBorder="1"/>
    <xf numFmtId="0" fontId="2" fillId="46" borderId="1" xfId="0" applyFont="1" applyFill="1" applyBorder="1" applyAlignment="1">
      <alignment horizontal="left" wrapText="1"/>
    </xf>
    <xf numFmtId="0" fontId="0" fillId="0" borderId="4" xfId="0" applyBorder="1"/>
    <xf numFmtId="0" fontId="2" fillId="46" borderId="5" xfId="0" applyFont="1" applyFill="1" applyBorder="1"/>
    <xf numFmtId="0" fontId="2" fillId="0" borderId="70" xfId="0" applyFont="1" applyBorder="1"/>
    <xf numFmtId="0" fontId="0" fillId="0" borderId="70" xfId="0" applyBorder="1"/>
    <xf numFmtId="0" fontId="2" fillId="3" borderId="83" xfId="0" applyFont="1" applyFill="1" applyBorder="1" applyAlignment="1">
      <alignment horizontal="left" vertical="center" wrapText="1"/>
    </xf>
    <xf numFmtId="3" fontId="36" fillId="0" borderId="5" xfId="0" applyNumberFormat="1" applyFont="1" applyBorder="1" applyAlignment="1">
      <alignment horizontal="right" vertical="center"/>
    </xf>
    <xf numFmtId="1" fontId="0" fillId="3" borderId="5" xfId="0" applyNumberFormat="1" applyFill="1" applyBorder="1"/>
    <xf numFmtId="0" fontId="36" fillId="0" borderId="5" xfId="0" applyFont="1" applyBorder="1" applyAlignment="1">
      <alignment horizontal="right" vertical="center"/>
    </xf>
    <xf numFmtId="1" fontId="36" fillId="0" borderId="5" xfId="0" applyNumberFormat="1" applyFont="1" applyBorder="1" applyAlignment="1">
      <alignment horizontal="right" vertical="center"/>
    </xf>
    <xf numFmtId="0" fontId="2" fillId="3" borderId="1" xfId="0" applyFont="1" applyFill="1" applyBorder="1" applyAlignment="1">
      <alignment horizontal="left" vertical="center" wrapText="1"/>
    </xf>
    <xf numFmtId="0" fontId="0" fillId="45" borderId="0" xfId="0" applyFill="1"/>
    <xf numFmtId="0" fontId="61" fillId="0" borderId="0" xfId="0" applyFont="1"/>
    <xf numFmtId="164" fontId="0" fillId="0" borderId="5" xfId="0" applyNumberFormat="1" applyBorder="1"/>
    <xf numFmtId="164" fontId="36" fillId="0" borderId="5" xfId="0" applyNumberFormat="1" applyFont="1" applyBorder="1" applyAlignment="1">
      <alignment horizontal="right" vertical="center"/>
    </xf>
    <xf numFmtId="1" fontId="1" fillId="0" borderId="38" xfId="0" applyNumberFormat="1" applyFont="1" applyBorder="1"/>
    <xf numFmtId="1" fontId="1" fillId="0" borderId="7" xfId="0" applyNumberFormat="1" applyFont="1" applyBorder="1"/>
    <xf numFmtId="1" fontId="1" fillId="0" borderId="0" xfId="0" applyNumberFormat="1" applyFont="1"/>
    <xf numFmtId="1" fontId="1" fillId="38" borderId="38" xfId="0" applyNumberFormat="1" applyFont="1" applyFill="1" applyBorder="1"/>
    <xf numFmtId="1" fontId="1" fillId="44" borderId="1" xfId="0" applyNumberFormat="1" applyFont="1" applyFill="1" applyBorder="1"/>
    <xf numFmtId="1" fontId="1" fillId="38" borderId="1" xfId="0" applyNumberFormat="1" applyFont="1" applyFill="1" applyBorder="1"/>
    <xf numFmtId="1" fontId="1" fillId="0" borderId="1" xfId="0" applyNumberFormat="1" applyFont="1" applyBorder="1"/>
    <xf numFmtId="164" fontId="1" fillId="0" borderId="23" xfId="2" applyNumberFormat="1" applyFont="1" applyBorder="1" applyAlignment="1">
      <alignment horizontal="right" vertical="center" wrapText="1"/>
    </xf>
    <xf numFmtId="164" fontId="0" fillId="0" borderId="1" xfId="2" applyNumberFormat="1" applyFont="1" applyBorder="1" applyAlignment="1">
      <alignment horizontal="right"/>
    </xf>
    <xf numFmtId="164" fontId="36" fillId="0" borderId="65" xfId="2" applyNumberFormat="1" applyFont="1" applyBorder="1" applyAlignment="1">
      <alignment horizontal="right" vertical="center"/>
    </xf>
    <xf numFmtId="0" fontId="53" fillId="0" borderId="0" xfId="0" applyFont="1" applyAlignment="1">
      <alignment horizontal="left" vertical="center"/>
    </xf>
    <xf numFmtId="164" fontId="0" fillId="0" borderId="5" xfId="2" applyNumberFormat="1" applyFont="1" applyBorder="1"/>
    <xf numFmtId="0" fontId="2" fillId="0" borderId="7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0" borderId="14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0" fillId="3" borderId="0" xfId="0" applyFill="1" applyAlignment="1">
      <alignment horizontal="center" wrapText="1"/>
    </xf>
    <xf numFmtId="0" fontId="11" fillId="0" borderId="52" xfId="0" applyFont="1" applyBorder="1" applyAlignment="1">
      <alignment horizontal="left"/>
    </xf>
    <xf numFmtId="0" fontId="11" fillId="0" borderId="60" xfId="0" applyFont="1" applyBorder="1" applyAlignment="1">
      <alignment horizontal="left"/>
    </xf>
    <xf numFmtId="0" fontId="11" fillId="0" borderId="6" xfId="0" applyFont="1" applyBorder="1" applyAlignment="1">
      <alignment horizontal="left"/>
    </xf>
    <xf numFmtId="0" fontId="11" fillId="0" borderId="53" xfId="0" applyFont="1" applyBorder="1" applyAlignment="1">
      <alignment horizontal="left"/>
    </xf>
    <xf numFmtId="0" fontId="11" fillId="0" borderId="59" xfId="0" applyFont="1" applyBorder="1" applyAlignment="1">
      <alignment horizontal="left"/>
    </xf>
    <xf numFmtId="0" fontId="11" fillId="0" borderId="15" xfId="0" applyFont="1" applyBorder="1" applyAlignment="1">
      <alignment horizontal="left"/>
    </xf>
    <xf numFmtId="0" fontId="41" fillId="0" borderId="54" xfId="0" applyFont="1" applyBorder="1" applyAlignment="1">
      <alignment vertical="center"/>
    </xf>
    <xf numFmtId="0" fontId="41" fillId="0" borderId="16" xfId="0" applyFont="1" applyBorder="1" applyAlignment="1">
      <alignment vertical="center"/>
    </xf>
    <xf numFmtId="0" fontId="41" fillId="0" borderId="17" xfId="0" applyFont="1" applyBorder="1" applyAlignment="1">
      <alignment vertical="center"/>
    </xf>
    <xf numFmtId="0" fontId="41" fillId="0" borderId="19" xfId="0" applyFont="1" applyBorder="1" applyAlignment="1">
      <alignment vertical="center"/>
    </xf>
    <xf numFmtId="0" fontId="10" fillId="4" borderId="55" xfId="0" applyFont="1" applyFill="1" applyBorder="1" applyAlignment="1">
      <alignment horizontal="center" vertical="center"/>
    </xf>
    <xf numFmtId="0" fontId="10" fillId="4" borderId="57" xfId="0" applyFont="1" applyFill="1" applyBorder="1" applyAlignment="1">
      <alignment horizontal="center" vertical="center"/>
    </xf>
    <xf numFmtId="0" fontId="10" fillId="4" borderId="61" xfId="0" applyFont="1" applyFill="1" applyBorder="1" applyAlignment="1">
      <alignment horizontal="center" vertical="center"/>
    </xf>
    <xf numFmtId="0" fontId="11" fillId="0" borderId="48" xfId="0" applyFont="1" applyBorder="1" applyAlignment="1">
      <alignment horizontal="left"/>
    </xf>
    <xf numFmtId="0" fontId="11" fillId="0" borderId="49" xfId="0" applyFont="1" applyBorder="1" applyAlignment="1">
      <alignment horizontal="left"/>
    </xf>
    <xf numFmtId="0" fontId="11" fillId="0" borderId="14" xfId="0" applyFont="1" applyBorder="1" applyAlignment="1">
      <alignment horizontal="left"/>
    </xf>
    <xf numFmtId="0" fontId="2" fillId="0" borderId="0" xfId="0" applyFont="1" applyAlignment="1">
      <alignment horizontal="center" vertical="center" wrapText="1"/>
    </xf>
    <xf numFmtId="0" fontId="2" fillId="5" borderId="55" xfId="0" applyFont="1" applyFill="1" applyBorder="1" applyAlignment="1">
      <alignment horizontal="center" vertical="center" wrapText="1"/>
    </xf>
    <xf numFmtId="0" fontId="2" fillId="5" borderId="56" xfId="0" applyFont="1" applyFill="1" applyBorder="1" applyAlignment="1">
      <alignment horizontal="center" vertical="center" wrapText="1"/>
    </xf>
    <xf numFmtId="14" fontId="2" fillId="3" borderId="38" xfId="0" applyNumberFormat="1" applyFont="1" applyFill="1" applyBorder="1" applyAlignment="1">
      <alignment horizontal="center" vertical="center" textRotation="90"/>
    </xf>
    <xf numFmtId="14" fontId="2" fillId="3" borderId="4" xfId="0" applyNumberFormat="1" applyFont="1" applyFill="1" applyBorder="1" applyAlignment="1">
      <alignment horizontal="center" vertical="center" textRotation="90"/>
    </xf>
    <xf numFmtId="14" fontId="2" fillId="3" borderId="21" xfId="0" applyNumberFormat="1" applyFont="1" applyFill="1" applyBorder="1" applyAlignment="1">
      <alignment horizontal="center" vertical="center" textRotation="90"/>
    </xf>
    <xf numFmtId="0" fontId="12" fillId="0" borderId="0" xfId="0" applyFont="1" applyAlignment="1">
      <alignment horizontal="left" vertical="center" wrapText="1"/>
    </xf>
    <xf numFmtId="0" fontId="0" fillId="0" borderId="50" xfId="0" applyBorder="1" applyAlignment="1">
      <alignment horizontal="center" vertical="center" wrapText="1"/>
    </xf>
    <xf numFmtId="164" fontId="0" fillId="0" borderId="50" xfId="0" applyNumberForma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" fontId="2" fillId="46" borderId="0" xfId="0" applyNumberFormat="1" applyFont="1" applyFill="1" applyAlignment="1">
      <alignment horizontal="center" vertical="center" wrapText="1"/>
    </xf>
    <xf numFmtId="0" fontId="55" fillId="0" borderId="0" xfId="0" applyFont="1" applyAlignment="1">
      <alignment horizontal="left" vertical="center"/>
    </xf>
    <xf numFmtId="0" fontId="53" fillId="0" borderId="0" xfId="0" applyFont="1" applyAlignment="1">
      <alignment horizontal="left" vertical="center"/>
    </xf>
    <xf numFmtId="0" fontId="52" fillId="0" borderId="0" xfId="0" applyFont="1" applyAlignment="1">
      <alignment horizontal="left" vertical="center"/>
    </xf>
    <xf numFmtId="164" fontId="0" fillId="0" borderId="50" xfId="0" applyNumberFormat="1" applyBorder="1" applyAlignment="1">
      <alignment horizontal="right" vertical="center" wrapText="1"/>
    </xf>
    <xf numFmtId="0" fontId="2" fillId="5" borderId="54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54" xfId="0" applyFont="1" applyFill="1" applyBorder="1" applyAlignment="1">
      <alignment horizontal="center" vertical="center" wrapText="1"/>
    </xf>
    <xf numFmtId="0" fontId="2" fillId="5" borderId="17" xfId="0" applyFont="1" applyFill="1" applyBorder="1" applyAlignment="1">
      <alignment horizontal="center" vertical="center" wrapText="1"/>
    </xf>
    <xf numFmtId="0" fontId="2" fillId="5" borderId="57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164" fontId="0" fillId="0" borderId="1" xfId="2" applyNumberFormat="1" applyFont="1" applyBorder="1" applyAlignment="1">
      <alignment horizontal="right" vertical="center"/>
    </xf>
    <xf numFmtId="0" fontId="59" fillId="0" borderId="0" xfId="0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41" fillId="0" borderId="18" xfId="0" applyFont="1" applyBorder="1" applyAlignment="1">
      <alignment vertical="center"/>
    </xf>
    <xf numFmtId="0" fontId="41" fillId="0" borderId="64" xfId="0" applyFont="1" applyBorder="1" applyAlignment="1">
      <alignment vertical="center"/>
    </xf>
    <xf numFmtId="0" fontId="41" fillId="0" borderId="72" xfId="0" applyFont="1" applyBorder="1" applyAlignment="1">
      <alignment vertical="center"/>
    </xf>
    <xf numFmtId="0" fontId="41" fillId="0" borderId="73" xfId="0" applyFont="1" applyBorder="1" applyAlignment="1">
      <alignment vertical="center"/>
    </xf>
    <xf numFmtId="0" fontId="41" fillId="0" borderId="23" xfId="0" applyFont="1" applyBorder="1" applyAlignment="1">
      <alignment vertical="center"/>
    </xf>
    <xf numFmtId="0" fontId="2" fillId="5" borderId="18" xfId="0" applyFont="1" applyFill="1" applyBorder="1" applyAlignment="1">
      <alignment horizontal="center" vertical="center" wrapText="1"/>
    </xf>
    <xf numFmtId="0" fontId="2" fillId="5" borderId="23" xfId="0" applyFont="1" applyFill="1" applyBorder="1" applyAlignment="1">
      <alignment horizontal="center" vertical="center" wrapText="1"/>
    </xf>
    <xf numFmtId="0" fontId="12" fillId="0" borderId="58" xfId="0" applyFont="1" applyBorder="1" applyAlignment="1">
      <alignment horizontal="left" vertical="center" wrapText="1"/>
    </xf>
    <xf numFmtId="0" fontId="11" fillId="0" borderId="26" xfId="0" applyFont="1" applyBorder="1" applyAlignment="1">
      <alignment horizontal="left"/>
    </xf>
    <xf numFmtId="0" fontId="11" fillId="0" borderId="12" xfId="0" applyFont="1" applyBorder="1" applyAlignment="1">
      <alignment horizontal="left"/>
    </xf>
    <xf numFmtId="0" fontId="10" fillId="4" borderId="27" xfId="0" applyFont="1" applyFill="1" applyBorder="1" applyAlignment="1">
      <alignment horizontal="center" vertical="center"/>
    </xf>
    <xf numFmtId="0" fontId="10" fillId="4" borderId="28" xfId="0" applyFont="1" applyFill="1" applyBorder="1" applyAlignment="1">
      <alignment horizontal="center" vertical="center"/>
    </xf>
    <xf numFmtId="0" fontId="10" fillId="4" borderId="29" xfId="0" applyFont="1" applyFill="1" applyBorder="1" applyAlignment="1">
      <alignment horizontal="center" vertical="center"/>
    </xf>
    <xf numFmtId="0" fontId="11" fillId="0" borderId="25" xfId="0" applyFont="1" applyBorder="1" applyAlignment="1">
      <alignment horizontal="left"/>
    </xf>
    <xf numFmtId="0" fontId="11" fillId="0" borderId="9" xfId="0" applyFont="1" applyBorder="1" applyAlignment="1">
      <alignment horizontal="left"/>
    </xf>
    <xf numFmtId="0" fontId="11" fillId="0" borderId="24" xfId="0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41" fillId="0" borderId="18" xfId="0" applyFont="1" applyBorder="1" applyAlignment="1">
      <alignment horizontal="left" vertical="center"/>
    </xf>
    <xf numFmtId="0" fontId="41" fillId="0" borderId="23" xfId="0" applyFont="1" applyBorder="1" applyAlignment="1">
      <alignment horizontal="left" vertical="center"/>
    </xf>
    <xf numFmtId="0" fontId="2" fillId="41" borderId="0" xfId="0" applyFont="1" applyFill="1" applyAlignment="1">
      <alignment horizontal="center"/>
    </xf>
  </cellXfs>
  <cellStyles count="5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2" builtinId="3"/>
    <cellStyle name="Comma 10 2" xfId="49" xr:uid="{00000000-0005-0000-0000-00001C000000}"/>
    <cellStyle name="Comma 19 3" xfId="50" xr:uid="{00000000-0005-0000-0000-00001D000000}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44" xr:uid="{00000000-0005-0000-0000-000028000000}"/>
    <cellStyle name="Normal 3" xfId="45" xr:uid="{00000000-0005-0000-0000-000029000000}"/>
    <cellStyle name="Normal 3 2" xfId="47" xr:uid="{00000000-0005-0000-0000-00002A000000}"/>
    <cellStyle name="Normal 3 3" xfId="53" xr:uid="{BC0795A3-440F-4486-9026-9BDB013F7600}"/>
    <cellStyle name="Normal 4" xfId="46" xr:uid="{00000000-0005-0000-0000-00002B000000}"/>
    <cellStyle name="Normal 4 2" xfId="48" xr:uid="{00000000-0005-0000-0000-00002C000000}"/>
    <cellStyle name="Normal 4 3" xfId="52" xr:uid="{23F4F0DC-BCF4-43F4-9BD9-A148E01D1648}"/>
    <cellStyle name="Note" xfId="17" builtinId="10" customBuiltin="1"/>
    <cellStyle name="Output" xfId="12" builtinId="21" customBuiltin="1"/>
    <cellStyle name="Percent" xfId="1" builtinId="5"/>
    <cellStyle name="Percent 8" xfId="51" xr:uid="{00000000-0005-0000-0000-000030000000}"/>
    <cellStyle name="Title" xfId="3" builtinId="15" customBuiltin="1"/>
    <cellStyle name="Total" xfId="19" builtinId="25" customBuiltin="1"/>
    <cellStyle name="Warning Text" xfId="16" builtinId="11" customBuiltin="1"/>
  </cellStyles>
  <dxfs count="36">
    <dxf>
      <numFmt numFmtId="14" formatCode="0.00%"/>
    </dxf>
    <dxf>
      <numFmt numFmtId="170" formatCode="0.0%"/>
    </dxf>
    <dxf>
      <numFmt numFmtId="13" formatCode="0%"/>
    </dxf>
    <dxf>
      <numFmt numFmtId="1" formatCode="0"/>
    </dxf>
    <dxf>
      <numFmt numFmtId="1" formatCode="0"/>
    </dxf>
    <dxf>
      <numFmt numFmtId="170" formatCode="0.0%"/>
    </dxf>
    <dxf>
      <numFmt numFmtId="1" formatCode="0"/>
    </dxf>
    <dxf>
      <numFmt numFmtId="1" formatCode="0"/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2" formatCode="0.00"/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</dxfs>
  <tableStyles count="1" defaultTableStyle="TableStyleMedium2" defaultPivotStyle="PivotStyleLight16">
    <tableStyle name="Invisible" pivot="0" table="0" count="0" xr9:uid="{3FF471AD-002B-4B42-95CB-7B3D85B6CB91}"/>
  </tableStyles>
  <colors>
    <mruColors>
      <color rgb="FFFF9900"/>
      <color rgb="FF0066FF"/>
      <color rgb="FF00FFFF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0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5.xml"/><Relationship Id="rId42" Type="http://schemas.openxmlformats.org/officeDocument/2006/relationships/pivotCacheDefinition" Target="pivotCache/pivotCacheDefinition13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3.xml"/><Relationship Id="rId37" Type="http://schemas.openxmlformats.org/officeDocument/2006/relationships/pivotCacheDefinition" Target="pivotCache/pivotCacheDefinition8.xml"/><Relationship Id="rId40" Type="http://schemas.openxmlformats.org/officeDocument/2006/relationships/pivotCacheDefinition" Target="pivotCache/pivotCacheDefinition11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7.xml"/><Relationship Id="rId49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4" Type="http://schemas.openxmlformats.org/officeDocument/2006/relationships/pivotCacheDefinition" Target="pivotCache/pivotCacheDefinition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pivotCacheDefinition" Target="pivotCache/pivotCacheDefinition6.xml"/><Relationship Id="rId43" Type="http://schemas.openxmlformats.org/officeDocument/2006/relationships/pivotCacheDefinition" Target="pivotCache/pivotCacheDefinition14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4.xml"/><Relationship Id="rId38" Type="http://schemas.openxmlformats.org/officeDocument/2006/relationships/pivotCacheDefinition" Target="pivotCache/pivotCacheDefinition9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600" b="1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j-lt"/>
                <a:ea typeface="+mn-ea"/>
                <a:cs typeface="+mn-cs"/>
              </a:rPr>
              <a:t>Occupancy Level (%)</a:t>
            </a:r>
          </a:p>
          <a:p>
            <a:pPr algn="ctr" rtl="0">
              <a:defRPr lang="en-US" sz="1600">
                <a:solidFill>
                  <a:schemeClr val="accent2">
                    <a:lumMod val="75000"/>
                  </a:schemeClr>
                </a:solidFill>
                <a:latin typeface="+mj-lt"/>
              </a:defRPr>
            </a:pPr>
            <a:r>
              <a:rPr lang="en-US" sz="1200" b="1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j-lt"/>
                <a:ea typeface="+mn-ea"/>
                <a:cs typeface="+mn-cs"/>
              </a:rPr>
              <a:t>April 2019 - Average</a:t>
            </a:r>
            <a:endParaRPr lang="en-US" sz="1600" b="1" i="0" u="none" strike="noStrike" kern="1200" baseline="0">
              <a:solidFill>
                <a:schemeClr val="accent1">
                  <a:lumMod val="50000"/>
                </a:schemeClr>
              </a:solidFill>
              <a:latin typeface="+mj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baseline="0">
              <a:solidFill>
                <a:schemeClr val="accent2">
                  <a:lumMod val="7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Monthly!$AD$27:$AD$31</c:f>
              <c:strCache>
                <c:ptCount val="5"/>
                <c:pt idx="0">
                  <c:v>LPPL</c:v>
                </c:pt>
                <c:pt idx="1">
                  <c:v>Nuge Rd</c:v>
                </c:pt>
                <c:pt idx="2">
                  <c:v>EGF</c:v>
                </c:pt>
                <c:pt idx="3">
                  <c:v>Ja Ela</c:v>
                </c:pt>
                <c:pt idx="4">
                  <c:v>UK</c:v>
                </c:pt>
              </c:strCache>
            </c:strRef>
          </c:cat>
          <c:val>
            <c:numRef>
              <c:f>Monthly!$AB$27:$AB$31</c:f>
              <c:numCache>
                <c:formatCode>0%</c:formatCode>
                <c:ptCount val="5"/>
                <c:pt idx="0">
                  <c:v>0.53351111111111116</c:v>
                </c:pt>
                <c:pt idx="1">
                  <c:v>1</c:v>
                </c:pt>
                <c:pt idx="2">
                  <c:v>0.46506111111111115</c:v>
                </c:pt>
                <c:pt idx="3">
                  <c:v>0.54670000000000007</c:v>
                </c:pt>
                <c:pt idx="4">
                  <c:v>0.93076923076923079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73-4F2D-A690-F9B6246BBF7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-1644841648"/>
        <c:axId val="-1644837296"/>
      </c:barChart>
      <c:catAx>
        <c:axId val="-164484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37296"/>
        <c:crosses val="autoZero"/>
        <c:auto val="1"/>
        <c:lblAlgn val="ctr"/>
        <c:lblOffset val="100"/>
        <c:noMultiLvlLbl val="0"/>
      </c:catAx>
      <c:valAx>
        <c:axId val="-1644837296"/>
        <c:scaling>
          <c:orientation val="minMax"/>
          <c:min val="0.30000000000000004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41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300">
                <a:solidFill>
                  <a:schemeClr val="accent1">
                    <a:lumMod val="50000"/>
                  </a:schemeClr>
                </a:solidFill>
                <a:latin typeface="+mj-lt"/>
              </a:rPr>
              <a:t>Sellable Volume  (CBM)</a:t>
            </a:r>
          </a:p>
          <a:p>
            <a:pPr>
              <a:defRPr sz="1600">
                <a:latin typeface="+mj-lt"/>
              </a:defRPr>
            </a:pPr>
            <a:r>
              <a:rPr lang="en-US" sz="1000" b="0">
                <a:solidFill>
                  <a:schemeClr val="accent1">
                    <a:lumMod val="50000"/>
                  </a:schemeClr>
                </a:solidFill>
                <a:latin typeface="+mj-lt"/>
              </a:rPr>
              <a:t>Considered at  90% of Occupancy Level</a:t>
            </a:r>
          </a:p>
          <a:p>
            <a:pPr>
              <a:defRPr sz="1600">
                <a:latin typeface="+mj-lt"/>
              </a:defRPr>
            </a:pPr>
            <a:r>
              <a:rPr lang="en-US" sz="1200">
                <a:solidFill>
                  <a:schemeClr val="accent1">
                    <a:lumMod val="50000"/>
                  </a:schemeClr>
                </a:solidFill>
                <a:latin typeface="+mj-lt"/>
              </a:rPr>
              <a:t>April 2019 - Average</a:t>
            </a:r>
          </a:p>
        </c:rich>
      </c:tx>
      <c:layout>
        <c:manualLayout>
          <c:xMode val="edge"/>
          <c:yMode val="edge"/>
          <c:x val="0.28793490193692867"/>
          <c:y val="3.26216280294857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Lbl>
              <c:idx val="3"/>
              <c:layout>
                <c:manualLayout>
                  <c:x val="1.0189598465541201E-16"/>
                  <c:y val="6.262362738742999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B3-4ADE-A3D9-4BCF77A763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Monthly!$AD$27:$AD$30</c:f>
              <c:strCache>
                <c:ptCount val="4"/>
                <c:pt idx="0">
                  <c:v>LPPL</c:v>
                </c:pt>
                <c:pt idx="1">
                  <c:v>Nuge Rd</c:v>
                </c:pt>
                <c:pt idx="2">
                  <c:v>EGF</c:v>
                </c:pt>
                <c:pt idx="3">
                  <c:v>Ja Ela</c:v>
                </c:pt>
              </c:strCache>
            </c:strRef>
          </c:cat>
          <c:val>
            <c:numRef>
              <c:f>Monthly!$AC$27:$AC$30</c:f>
              <c:numCache>
                <c:formatCode>0</c:formatCode>
                <c:ptCount val="4"/>
                <c:pt idx="0">
                  <c:v>3298.3999999999996</c:v>
                </c:pt>
                <c:pt idx="1">
                  <c:v>0</c:v>
                </c:pt>
                <c:pt idx="2">
                  <c:v>7828.9</c:v>
                </c:pt>
                <c:pt idx="3">
                  <c:v>706.59999999999991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B3-4ADE-A3D9-4BCF77A7637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644856336"/>
        <c:axId val="-1644845456"/>
      </c:barChart>
      <c:catAx>
        <c:axId val="-164485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45456"/>
        <c:crosses val="autoZero"/>
        <c:auto val="1"/>
        <c:lblAlgn val="ctr"/>
        <c:lblOffset val="100"/>
        <c:noMultiLvlLbl val="0"/>
      </c:catAx>
      <c:valAx>
        <c:axId val="-16448454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6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plant).xlsx]Utilization!PivotTable1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Utilization Summery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Utilization!$B$1</c:f>
              <c:strCache>
                <c:ptCount val="1"/>
                <c:pt idx="0">
                  <c:v>Capacity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Utilization!$A$2:$A$14</c:f>
              <c:multiLvlStrCache>
                <c:ptCount val="6"/>
                <c:lvl>
                  <c:pt idx="0">
                    <c:v>42%</c:v>
                  </c:pt>
                  <c:pt idx="1">
                    <c:v>72%</c:v>
                  </c:pt>
                  <c:pt idx="2">
                    <c:v>100%</c:v>
                  </c:pt>
                  <c:pt idx="3">
                    <c:v>47%</c:v>
                  </c:pt>
                  <c:pt idx="4">
                    <c:v>36%</c:v>
                  </c:pt>
                  <c:pt idx="5">
                    <c:v>60%</c:v>
                  </c:pt>
                </c:lvl>
                <c:lvl>
                  <c:pt idx="0">
                    <c:v>Expo Global Freeport </c:v>
                  </c:pt>
                  <c:pt idx="1">
                    <c:v>Hirdaramani Woven Client Warehouse </c:v>
                  </c:pt>
                  <c:pt idx="2">
                    <c:v>Kandana DC</c:v>
                  </c:pt>
                  <c:pt idx="3">
                    <c:v>Orugodawatta DC</c:v>
                  </c:pt>
                  <c:pt idx="4">
                    <c:v>Orugodawatta DC Cold Room </c:v>
                  </c:pt>
                  <c:pt idx="5">
                    <c:v>Peliyagoda DC</c:v>
                  </c:pt>
                </c:lvl>
              </c:multiLvlStrCache>
            </c:multiLvlStrRef>
          </c:cat>
          <c:val>
            <c:numRef>
              <c:f>Utilization!$B$2:$B$14</c:f>
              <c:numCache>
                <c:formatCode>General</c:formatCode>
                <c:ptCount val="6"/>
                <c:pt idx="0">
                  <c:v>21000</c:v>
                </c:pt>
                <c:pt idx="1">
                  <c:v>4300</c:v>
                </c:pt>
                <c:pt idx="2">
                  <c:v>7500</c:v>
                </c:pt>
                <c:pt idx="3">
                  <c:v>10300</c:v>
                </c:pt>
                <c:pt idx="4">
                  <c:v>100</c:v>
                </c:pt>
                <c:pt idx="5">
                  <c:v>10250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6-4E66-9D3E-32320D1A136D}"/>
            </c:ext>
          </c:extLst>
        </c:ser>
        <c:ser>
          <c:idx val="1"/>
          <c:order val="1"/>
          <c:tx>
            <c:strRef>
              <c:f>Utilization!$C$1</c:f>
              <c:strCache>
                <c:ptCount val="1"/>
                <c:pt idx="0">
                  <c:v>Occupancy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Utilization!$A$2:$A$14</c:f>
              <c:multiLvlStrCache>
                <c:ptCount val="6"/>
                <c:lvl>
                  <c:pt idx="0">
                    <c:v>42%</c:v>
                  </c:pt>
                  <c:pt idx="1">
                    <c:v>72%</c:v>
                  </c:pt>
                  <c:pt idx="2">
                    <c:v>100%</c:v>
                  </c:pt>
                  <c:pt idx="3">
                    <c:v>47%</c:v>
                  </c:pt>
                  <c:pt idx="4">
                    <c:v>36%</c:v>
                  </c:pt>
                  <c:pt idx="5">
                    <c:v>60%</c:v>
                  </c:pt>
                </c:lvl>
                <c:lvl>
                  <c:pt idx="0">
                    <c:v>Expo Global Freeport </c:v>
                  </c:pt>
                  <c:pt idx="1">
                    <c:v>Hirdaramani Woven Client Warehouse </c:v>
                  </c:pt>
                  <c:pt idx="2">
                    <c:v>Kandana DC</c:v>
                  </c:pt>
                  <c:pt idx="3">
                    <c:v>Orugodawatta DC</c:v>
                  </c:pt>
                  <c:pt idx="4">
                    <c:v>Orugodawatta DC Cold Room </c:v>
                  </c:pt>
                  <c:pt idx="5">
                    <c:v>Peliyagoda DC</c:v>
                  </c:pt>
                </c:lvl>
              </c:multiLvlStrCache>
            </c:multiLvlStrRef>
          </c:cat>
          <c:val>
            <c:numRef>
              <c:f>Utilization!$C$2:$C$14</c:f>
              <c:numCache>
                <c:formatCode>General</c:formatCode>
                <c:ptCount val="6"/>
                <c:pt idx="0">
                  <c:v>8773.6718999999994</c:v>
                </c:pt>
                <c:pt idx="1">
                  <c:v>3114.8409999999999</c:v>
                </c:pt>
                <c:pt idx="2">
                  <c:v>7676.0394999999999</c:v>
                </c:pt>
                <c:pt idx="3">
                  <c:v>4837.7183473000014</c:v>
                </c:pt>
                <c:pt idx="4">
                  <c:v>36.439366699999859</c:v>
                </c:pt>
                <c:pt idx="5">
                  <c:v>6155.6408999999994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26-4E66-9D3E-32320D1A13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-1644859600"/>
        <c:axId val="-1644854160"/>
      </c:barChart>
      <c:catAx>
        <c:axId val="-1644859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Facility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4160"/>
        <c:crosses val="autoZero"/>
        <c:auto val="1"/>
        <c:lblAlgn val="ctr"/>
        <c:lblOffset val="100"/>
        <c:noMultiLvlLbl val="0"/>
      </c:catAx>
      <c:valAx>
        <c:axId val="-164485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plant).xlsx]unoccupied cbm!PivotTable2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Estimated Unoccupied</a:t>
            </a:r>
            <a:r>
              <a:rPr lang="en-US" baseline="0"/>
              <a:t> CBM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'unoccupied cbm'!$B$3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'unoccupied cbm'!$A$4:$A$10</c:f>
              <c:strCache>
                <c:ptCount val="6"/>
                <c:pt idx="0">
                  <c:v>Expo Global Freeport </c:v>
                </c:pt>
                <c:pt idx="1">
                  <c:v>Hirdaramani Woven Client Warehouse </c:v>
                </c:pt>
                <c:pt idx="2">
                  <c:v>Kandana DC</c:v>
                </c:pt>
                <c:pt idx="3">
                  <c:v>Orugodawatta DC</c:v>
                </c:pt>
                <c:pt idx="4">
                  <c:v>Orugodawatta DC Cold Room </c:v>
                </c:pt>
                <c:pt idx="5">
                  <c:v>Peliyagoda DC</c:v>
                </c:pt>
              </c:strCache>
            </c:strRef>
          </c:cat>
          <c:val>
            <c:numRef>
              <c:f>'unoccupied cbm'!$B$4:$B$10</c:f>
              <c:numCache>
                <c:formatCode>General</c:formatCode>
                <c:ptCount val="6"/>
                <c:pt idx="0">
                  <c:v>12226.328100000001</c:v>
                </c:pt>
                <c:pt idx="1">
                  <c:v>1185.1590000000001</c:v>
                </c:pt>
                <c:pt idx="2">
                  <c:v>0</c:v>
                </c:pt>
                <c:pt idx="3">
                  <c:v>5462.2816526999986</c:v>
                </c:pt>
                <c:pt idx="4">
                  <c:v>63.560633300000141</c:v>
                </c:pt>
                <c:pt idx="5">
                  <c:v>4094.3591000000006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6D-443C-9785-F48009C91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44860144"/>
        <c:axId val="-1644844368"/>
      </c:barChart>
      <c:catAx>
        <c:axId val="-1644860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Facility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44368"/>
        <c:crosses val="autoZero"/>
        <c:auto val="1"/>
        <c:lblAlgn val="ctr"/>
        <c:lblOffset val="100"/>
        <c:noMultiLvlLbl val="0"/>
      </c:catAx>
      <c:valAx>
        <c:axId val="-16448443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6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plant).xlsx]sellable!PivotTable1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sellable!$B$3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sellable!$A$4:$A$9</c:f>
              <c:strCache>
                <c:ptCount val="5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Orugodawatta DC Cold Room </c:v>
                </c:pt>
                <c:pt idx="4">
                  <c:v>Peliyagoda DC</c:v>
                </c:pt>
              </c:strCache>
            </c:strRef>
          </c:cat>
          <c:val>
            <c:numRef>
              <c:f>sellable!$B$4:$B$9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84.622120700000067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9-4793-A6E6-31FDD19313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644835664"/>
        <c:axId val="-1644834032"/>
      </c:barChart>
      <c:catAx>
        <c:axId val="-164483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34032"/>
        <c:crosses val="autoZero"/>
        <c:auto val="1"/>
        <c:lblAlgn val="ctr"/>
        <c:lblOffset val="100"/>
        <c:noMultiLvlLbl val="0"/>
      </c:catAx>
      <c:valAx>
        <c:axId val="-1644834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3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plant).xlsx]SheetPannal1!PivotTable1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 Occupancy - Nestle</a:t>
            </a:r>
            <a:r>
              <a:rPr lang="en-US" baseline="0"/>
              <a:t> Pannala DC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SheetPannal1!$C$3</c:f>
              <c:strCache>
                <c:ptCount val="1"/>
                <c:pt idx="0">
                  <c:v>Capacity 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SheetPannal1!$A$4:$B$6</c:f>
              <c:multiLvlStrCache>
                <c:ptCount val="2"/>
                <c:lvl>
                  <c:pt idx="0">
                    <c:v>91%</c:v>
                  </c:pt>
                  <c:pt idx="1">
                    <c:v>57%</c:v>
                  </c:pt>
                </c:lvl>
                <c:lvl>
                  <c:pt idx="0">
                    <c:v>Main DC</c:v>
                  </c:pt>
                  <c:pt idx="1">
                    <c:v>BIPL</c:v>
                  </c:pt>
                </c:lvl>
              </c:multiLvlStrCache>
            </c:multiLvlStrRef>
          </c:cat>
          <c:val>
            <c:numRef>
              <c:f>SheetPannal1!$C$4:$C$6</c:f>
              <c:numCache>
                <c:formatCode>General</c:formatCode>
                <c:ptCount val="2"/>
                <c:pt idx="0">
                  <c:v>10131</c:v>
                </c:pt>
                <c:pt idx="1">
                  <c:v>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D-4EAE-B7A3-A197AC8FBAB8}"/>
            </c:ext>
          </c:extLst>
        </c:ser>
        <c:ser>
          <c:idx val="1"/>
          <c:order val="1"/>
          <c:tx>
            <c:strRef>
              <c:f>SheetPannal1!$D$3</c:f>
              <c:strCache>
                <c:ptCount val="1"/>
                <c:pt idx="0">
                  <c:v>Occupancy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SheetPannal1!$A$4:$B$6</c:f>
              <c:multiLvlStrCache>
                <c:ptCount val="2"/>
                <c:lvl>
                  <c:pt idx="0">
                    <c:v>91%</c:v>
                  </c:pt>
                  <c:pt idx="1">
                    <c:v>57%</c:v>
                  </c:pt>
                </c:lvl>
                <c:lvl>
                  <c:pt idx="0">
                    <c:v>Main DC</c:v>
                  </c:pt>
                  <c:pt idx="1">
                    <c:v>BIPL</c:v>
                  </c:pt>
                </c:lvl>
              </c:multiLvlStrCache>
            </c:multiLvlStrRef>
          </c:cat>
          <c:val>
            <c:numRef>
              <c:f>SheetPannal1!$D$4:$D$6</c:f>
              <c:numCache>
                <c:formatCode>General</c:formatCode>
                <c:ptCount val="2"/>
                <c:pt idx="0">
                  <c:v>9169</c:v>
                </c:pt>
                <c:pt idx="1">
                  <c:v>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D-4EAE-B7A3-A197AC8FBAB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644831856"/>
        <c:axId val="-1644831312"/>
      </c:barChart>
      <c:catAx>
        <c:axId val="-1644831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Distibution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31312"/>
        <c:crosses val="autoZero"/>
        <c:auto val="1"/>
        <c:lblAlgn val="ctr"/>
        <c:lblOffset val="100"/>
        <c:noMultiLvlLbl val="0"/>
      </c:catAx>
      <c:valAx>
        <c:axId val="-16448313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Pallets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3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plant).xlsx]WH Occupancy Trend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 Occupancy</a:t>
            </a:r>
            <a:r>
              <a:rPr lang="en-US" baseline="0"/>
              <a:t> - Trend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'WH Occupancy Trend Analysis'!$B$3</c:f>
              <c:strCache>
                <c:ptCount val="1"/>
                <c:pt idx="0">
                  <c:v> Nuge 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'WH Occupancy Trend Analysis'!$A$4:$A$19</c:f>
              <c:strCache>
                <c:ptCount val="15"/>
                <c:pt idx="0">
                  <c:v>11/4/2019</c:v>
                </c:pt>
                <c:pt idx="1">
                  <c:v>11/6/2019</c:v>
                </c:pt>
                <c:pt idx="2">
                  <c:v>11/7/2019</c:v>
                </c:pt>
                <c:pt idx="3">
                  <c:v>11/11/2019</c:v>
                </c:pt>
                <c:pt idx="4">
                  <c:v>11/13/2019</c:v>
                </c:pt>
                <c:pt idx="5">
                  <c:v>11/14/2019</c:v>
                </c:pt>
                <c:pt idx="6">
                  <c:v>11/15/2019</c:v>
                </c:pt>
                <c:pt idx="7">
                  <c:v>11/18/2019</c:v>
                </c:pt>
                <c:pt idx="8">
                  <c:v>11/21/2019</c:v>
                </c:pt>
                <c:pt idx="9">
                  <c:v>11/22/2019</c:v>
                </c:pt>
                <c:pt idx="10">
                  <c:v>11/25/2019</c:v>
                </c:pt>
                <c:pt idx="11">
                  <c:v>11/26/2019</c:v>
                </c:pt>
                <c:pt idx="12">
                  <c:v>11/30/2019</c:v>
                </c:pt>
                <c:pt idx="13">
                  <c:v>12/3/2019</c:v>
                </c:pt>
                <c:pt idx="14">
                  <c:v>(blank)</c:v>
                </c:pt>
              </c:strCache>
            </c:strRef>
          </c:cat>
          <c:val>
            <c:numRef>
              <c:f>'WH Occupancy Trend Analysis'!$B$4:$B$19</c:f>
              <c:numCache>
                <c:formatCode>General</c:formatCode>
                <c:ptCount val="15"/>
                <c:pt idx="0">
                  <c:v>7704</c:v>
                </c:pt>
                <c:pt idx="1">
                  <c:v>7704</c:v>
                </c:pt>
                <c:pt idx="2">
                  <c:v>7956</c:v>
                </c:pt>
                <c:pt idx="3">
                  <c:v>7666</c:v>
                </c:pt>
                <c:pt idx="4">
                  <c:v>7646</c:v>
                </c:pt>
                <c:pt idx="5">
                  <c:v>7584</c:v>
                </c:pt>
                <c:pt idx="6">
                  <c:v>7624</c:v>
                </c:pt>
                <c:pt idx="7">
                  <c:v>7639</c:v>
                </c:pt>
                <c:pt idx="8">
                  <c:v>7888</c:v>
                </c:pt>
                <c:pt idx="9">
                  <c:v>7993</c:v>
                </c:pt>
                <c:pt idx="10">
                  <c:v>7764</c:v>
                </c:pt>
                <c:pt idx="11">
                  <c:v>7789</c:v>
                </c:pt>
                <c:pt idx="12">
                  <c:v>7983</c:v>
                </c:pt>
                <c:pt idx="13">
                  <c:v>7337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FA-4CE3-9B6B-0513EA8E8D82}"/>
            </c:ext>
          </c:extLst>
        </c:ser>
        <c:ser>
          <c:idx val="1"/>
          <c:order val="1"/>
          <c:tx>
            <c:strRef>
              <c:f>'WH Occupancy Trend Analysis'!$C$3</c:f>
              <c:strCache>
                <c:ptCount val="1"/>
                <c:pt idx="0">
                  <c:v> EGF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'WH Occupancy Trend Analysis'!$A$4:$A$19</c:f>
              <c:strCache>
                <c:ptCount val="15"/>
                <c:pt idx="0">
                  <c:v>11/4/2019</c:v>
                </c:pt>
                <c:pt idx="1">
                  <c:v>11/6/2019</c:v>
                </c:pt>
                <c:pt idx="2">
                  <c:v>11/7/2019</c:v>
                </c:pt>
                <c:pt idx="3">
                  <c:v>11/11/2019</c:v>
                </c:pt>
                <c:pt idx="4">
                  <c:v>11/13/2019</c:v>
                </c:pt>
                <c:pt idx="5">
                  <c:v>11/14/2019</c:v>
                </c:pt>
                <c:pt idx="6">
                  <c:v>11/15/2019</c:v>
                </c:pt>
                <c:pt idx="7">
                  <c:v>11/18/2019</c:v>
                </c:pt>
                <c:pt idx="8">
                  <c:v>11/21/2019</c:v>
                </c:pt>
                <c:pt idx="9">
                  <c:v>11/22/2019</c:v>
                </c:pt>
                <c:pt idx="10">
                  <c:v>11/25/2019</c:v>
                </c:pt>
                <c:pt idx="11">
                  <c:v>11/26/2019</c:v>
                </c:pt>
                <c:pt idx="12">
                  <c:v>11/30/2019</c:v>
                </c:pt>
                <c:pt idx="13">
                  <c:v>12/3/2019</c:v>
                </c:pt>
                <c:pt idx="14">
                  <c:v>(blank)</c:v>
                </c:pt>
              </c:strCache>
            </c:strRef>
          </c:cat>
          <c:val>
            <c:numRef>
              <c:f>'WH Occupancy Trend Analysis'!$C$4:$C$19</c:f>
              <c:numCache>
                <c:formatCode>General</c:formatCode>
                <c:ptCount val="15"/>
                <c:pt idx="0">
                  <c:v>12652</c:v>
                </c:pt>
                <c:pt idx="1">
                  <c:v>12799</c:v>
                </c:pt>
                <c:pt idx="2">
                  <c:v>13085</c:v>
                </c:pt>
                <c:pt idx="3">
                  <c:v>14114</c:v>
                </c:pt>
                <c:pt idx="4">
                  <c:v>14359</c:v>
                </c:pt>
                <c:pt idx="5">
                  <c:v>14506</c:v>
                </c:pt>
                <c:pt idx="6">
                  <c:v>14436</c:v>
                </c:pt>
                <c:pt idx="7">
                  <c:v>14550</c:v>
                </c:pt>
                <c:pt idx="8">
                  <c:v>14372</c:v>
                </c:pt>
                <c:pt idx="9">
                  <c:v>14259</c:v>
                </c:pt>
                <c:pt idx="10">
                  <c:v>13268</c:v>
                </c:pt>
                <c:pt idx="11">
                  <c:v>13083</c:v>
                </c:pt>
                <c:pt idx="12">
                  <c:v>13316</c:v>
                </c:pt>
                <c:pt idx="13">
                  <c:v>13276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FA-4CE3-9B6B-0513EA8E8D82}"/>
            </c:ext>
          </c:extLst>
        </c:ser>
        <c:ser>
          <c:idx val="2"/>
          <c:order val="2"/>
          <c:tx>
            <c:strRef>
              <c:f>'WH Occupancy Trend Analysis'!$D$3</c:f>
              <c:strCache>
                <c:ptCount val="1"/>
                <c:pt idx="0">
                  <c:v>Ja Ela  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strRef>
              <c:f>'WH Occupancy Trend Analysis'!$A$4:$A$19</c:f>
              <c:strCache>
                <c:ptCount val="15"/>
                <c:pt idx="0">
                  <c:v>11/4/2019</c:v>
                </c:pt>
                <c:pt idx="1">
                  <c:v>11/6/2019</c:v>
                </c:pt>
                <c:pt idx="2">
                  <c:v>11/7/2019</c:v>
                </c:pt>
                <c:pt idx="3">
                  <c:v>11/11/2019</c:v>
                </c:pt>
                <c:pt idx="4">
                  <c:v>11/13/2019</c:v>
                </c:pt>
                <c:pt idx="5">
                  <c:v>11/14/2019</c:v>
                </c:pt>
                <c:pt idx="6">
                  <c:v>11/15/2019</c:v>
                </c:pt>
                <c:pt idx="7">
                  <c:v>11/18/2019</c:v>
                </c:pt>
                <c:pt idx="8">
                  <c:v>11/21/2019</c:v>
                </c:pt>
                <c:pt idx="9">
                  <c:v>11/22/2019</c:v>
                </c:pt>
                <c:pt idx="10">
                  <c:v>11/25/2019</c:v>
                </c:pt>
                <c:pt idx="11">
                  <c:v>11/26/2019</c:v>
                </c:pt>
                <c:pt idx="12">
                  <c:v>11/30/2019</c:v>
                </c:pt>
                <c:pt idx="13">
                  <c:v>12/3/2019</c:v>
                </c:pt>
                <c:pt idx="14">
                  <c:v>(blank)</c:v>
                </c:pt>
              </c:strCache>
            </c:strRef>
          </c:cat>
          <c:val>
            <c:numRef>
              <c:f>'WH Occupancy Trend Analysis'!$D$4:$D$19</c:f>
              <c:numCache>
                <c:formatCode>General</c:formatCode>
                <c:ptCount val="15"/>
                <c:pt idx="0">
                  <c:v>1395</c:v>
                </c:pt>
                <c:pt idx="1">
                  <c:v>1395</c:v>
                </c:pt>
                <c:pt idx="2">
                  <c:v>1378</c:v>
                </c:pt>
                <c:pt idx="3">
                  <c:v>1467</c:v>
                </c:pt>
                <c:pt idx="4">
                  <c:v>1376</c:v>
                </c:pt>
                <c:pt idx="5">
                  <c:v>1393</c:v>
                </c:pt>
                <c:pt idx="6">
                  <c:v>1360</c:v>
                </c:pt>
                <c:pt idx="7">
                  <c:v>1413</c:v>
                </c:pt>
                <c:pt idx="8">
                  <c:v>1322</c:v>
                </c:pt>
                <c:pt idx="9">
                  <c:v>1322</c:v>
                </c:pt>
                <c:pt idx="10">
                  <c:v>1322</c:v>
                </c:pt>
                <c:pt idx="11">
                  <c:v>1286</c:v>
                </c:pt>
                <c:pt idx="12">
                  <c:v>1514</c:v>
                </c:pt>
                <c:pt idx="13">
                  <c:v>1511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FA-4CE3-9B6B-0513EA8E8D82}"/>
            </c:ext>
          </c:extLst>
        </c:ser>
        <c:ser>
          <c:idx val="3"/>
          <c:order val="3"/>
          <c:tx>
            <c:strRef>
              <c:f>'WH Occupancy Trend Analysis'!$E$3</c:f>
              <c:strCache>
                <c:ptCount val="1"/>
                <c:pt idx="0">
                  <c:v> LPPL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'WH Occupancy Trend Analysis'!$A$4:$A$19</c:f>
              <c:strCache>
                <c:ptCount val="15"/>
                <c:pt idx="0">
                  <c:v>11/4/2019</c:v>
                </c:pt>
                <c:pt idx="1">
                  <c:v>11/6/2019</c:v>
                </c:pt>
                <c:pt idx="2">
                  <c:v>11/7/2019</c:v>
                </c:pt>
                <c:pt idx="3">
                  <c:v>11/11/2019</c:v>
                </c:pt>
                <c:pt idx="4">
                  <c:v>11/13/2019</c:v>
                </c:pt>
                <c:pt idx="5">
                  <c:v>11/14/2019</c:v>
                </c:pt>
                <c:pt idx="6">
                  <c:v>11/15/2019</c:v>
                </c:pt>
                <c:pt idx="7">
                  <c:v>11/18/2019</c:v>
                </c:pt>
                <c:pt idx="8">
                  <c:v>11/21/2019</c:v>
                </c:pt>
                <c:pt idx="9">
                  <c:v>11/22/2019</c:v>
                </c:pt>
                <c:pt idx="10">
                  <c:v>11/25/2019</c:v>
                </c:pt>
                <c:pt idx="11">
                  <c:v>11/26/2019</c:v>
                </c:pt>
                <c:pt idx="12">
                  <c:v>11/30/2019</c:v>
                </c:pt>
                <c:pt idx="13">
                  <c:v>12/3/2019</c:v>
                </c:pt>
                <c:pt idx="14">
                  <c:v>(blank)</c:v>
                </c:pt>
              </c:strCache>
            </c:strRef>
          </c:cat>
          <c:val>
            <c:numRef>
              <c:f>'WH Occupancy Trend Analysis'!$E$4:$E$19</c:f>
              <c:numCache>
                <c:formatCode>General</c:formatCode>
                <c:ptCount val="15"/>
                <c:pt idx="0">
                  <c:v>7445</c:v>
                </c:pt>
                <c:pt idx="1">
                  <c:v>7515</c:v>
                </c:pt>
                <c:pt idx="2">
                  <c:v>7756</c:v>
                </c:pt>
                <c:pt idx="3">
                  <c:v>7299</c:v>
                </c:pt>
                <c:pt idx="4">
                  <c:v>7327</c:v>
                </c:pt>
                <c:pt idx="5">
                  <c:v>7345</c:v>
                </c:pt>
                <c:pt idx="6">
                  <c:v>7415</c:v>
                </c:pt>
                <c:pt idx="7">
                  <c:v>6915</c:v>
                </c:pt>
                <c:pt idx="8">
                  <c:v>7132</c:v>
                </c:pt>
                <c:pt idx="9">
                  <c:v>7246</c:v>
                </c:pt>
                <c:pt idx="10">
                  <c:v>7205</c:v>
                </c:pt>
                <c:pt idx="11">
                  <c:v>7180</c:v>
                </c:pt>
                <c:pt idx="12">
                  <c:v>7226</c:v>
                </c:pt>
                <c:pt idx="13">
                  <c:v>7171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FA-4CE3-9B6B-0513EA8E8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44830768"/>
        <c:axId val="-1644829136"/>
      </c:lineChart>
      <c:catAx>
        <c:axId val="-1644830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29136"/>
        <c:crosses val="autoZero"/>
        <c:auto val="1"/>
        <c:lblAlgn val="ctr"/>
        <c:lblOffset val="100"/>
        <c:noMultiLvlLbl val="0"/>
      </c:catAx>
      <c:valAx>
        <c:axId val="-16448291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3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Cumilative Loss - Revenue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670166229221"/>
          <c:y val="0.17171296296296296"/>
          <c:w val="0.65236504811898499"/>
          <c:h val="0.479729877515310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'Cumulative Cost6'!$H$1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numRef>
              <c:f>'Cumulative Cost6'!$G$2:$G$7</c:f>
              <c:numCache>
                <c:formatCode>m/d/yyyy</c:formatCode>
                <c:ptCount val="6"/>
                <c:pt idx="0">
                  <c:v>44307</c:v>
                </c:pt>
                <c:pt idx="1">
                  <c:v>44308</c:v>
                </c:pt>
                <c:pt idx="2">
                  <c:v>44309</c:v>
                </c:pt>
                <c:pt idx="3">
                  <c:v>44313</c:v>
                </c:pt>
                <c:pt idx="4">
                  <c:v>44314</c:v>
                </c:pt>
                <c:pt idx="5">
                  <c:v>44315</c:v>
                </c:pt>
              </c:numCache>
            </c:numRef>
          </c:cat>
          <c:val>
            <c:numRef>
              <c:f>'Cumulative Cost6'!$H$2:$H$7</c:f>
              <c:numCache>
                <c:formatCode>#,##0</c:formatCode>
                <c:ptCount val="6"/>
                <c:pt idx="0">
                  <c:v>342451</c:v>
                </c:pt>
                <c:pt idx="1">
                  <c:v>352362</c:v>
                </c:pt>
                <c:pt idx="2">
                  <c:v>327830</c:v>
                </c:pt>
                <c:pt idx="3">
                  <c:v>272418.2885245902</c:v>
                </c:pt>
                <c:pt idx="4">
                  <c:v>285358</c:v>
                </c:pt>
                <c:pt idx="5">
                  <c:v>279988.26885245898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E7-4929-A296-DBB92AF5A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-1643829088"/>
        <c:axId val="-1643832896"/>
      </c:barChart>
      <c:lineChart>
        <c:grouping val="standard"/>
        <c:varyColors val="0"/>
        <c:ser>
          <c:idx val="1"/>
          <c:order val="1"/>
          <c:tx>
            <c:strRef>
              <c:f>'Cumulative Cost6'!$J$1</c:f>
              <c:strCache>
                <c:ptCount val="1"/>
                <c:pt idx="0">
                  <c:v>Revenue %</c:v>
                </c:pt>
              </c:strCache>
            </c:strRef>
          </c:tx>
          <c:spPr>
            <a:ln w="28575" cap="rnd">
              <a:solidFill>
                <a:schemeClr val="accent4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'Cumulative Cost6'!$G$2:$G$7</c:f>
              <c:numCache>
                <c:formatCode>m/d/yyyy</c:formatCode>
                <c:ptCount val="6"/>
                <c:pt idx="0">
                  <c:v>44307</c:v>
                </c:pt>
                <c:pt idx="1">
                  <c:v>44308</c:v>
                </c:pt>
                <c:pt idx="2">
                  <c:v>44309</c:v>
                </c:pt>
                <c:pt idx="3">
                  <c:v>44313</c:v>
                </c:pt>
                <c:pt idx="4">
                  <c:v>44314</c:v>
                </c:pt>
                <c:pt idx="5">
                  <c:v>44315</c:v>
                </c:pt>
              </c:numCache>
            </c:numRef>
          </c:cat>
          <c:val>
            <c:numRef>
              <c:f>'Cumulative Cost6'!$J$2:$J$7</c:f>
              <c:numCache>
                <c:formatCode>0%</c:formatCode>
                <c:ptCount val="6"/>
                <c:pt idx="0">
                  <c:v>0</c:v>
                </c:pt>
                <c:pt idx="1">
                  <c:v>0.18940043465357023</c:v>
                </c:pt>
                <c:pt idx="2">
                  <c:v>0.36561451134878686</c:v>
                </c:pt>
                <c:pt idx="3">
                  <c:v>0.51204387164910037</c:v>
                </c:pt>
                <c:pt idx="4">
                  <c:v>0.66542854205020352</c:v>
                </c:pt>
                <c:pt idx="5">
                  <c:v>0.81592689266280194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E7-4929-A296-DBB92AF5A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43839424"/>
        <c:axId val="-1643850304"/>
      </c:lineChart>
      <c:dateAx>
        <c:axId val="-1643829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32896"/>
        <c:crosses val="autoZero"/>
        <c:auto val="1"/>
        <c:lblOffset val="100"/>
        <c:baseTimeUnit val="days"/>
      </c:dateAx>
      <c:valAx>
        <c:axId val="-16438328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29088"/>
        <c:crosses val="autoZero"/>
        <c:crossBetween val="between"/>
      </c:valAx>
      <c:valAx>
        <c:axId val="-16438503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39424"/>
        <c:crosses val="max"/>
        <c:crossBetween val="between"/>
      </c:valAx>
      <c:dateAx>
        <c:axId val="-164383942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6438503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22178477690296"/>
          <c:y val="0.80634186351706016"/>
          <c:w val="0.1895422034509837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Cumilative Loss - NP</a:t>
            </a:r>
          </a:p>
        </c:rich>
      </c:tx>
      <c:layout>
        <c:manualLayout>
          <c:xMode val="edge"/>
          <c:yMode val="edge"/>
          <c:x val="0.34675678040244962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72003499562555"/>
          <c:y val="0.17171296296296296"/>
          <c:w val="0.62508705161854772"/>
          <c:h val="0.491846748323126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'Cumulative Cost6'!$K$1</c:f>
              <c:strCache>
                <c:ptCount val="1"/>
                <c:pt idx="0">
                  <c:v>Net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'Cumulative Cost6'!$G$2:$G$7</c:f>
              <c:numCache>
                <c:formatCode>m/d/yyyy</c:formatCode>
                <c:ptCount val="6"/>
                <c:pt idx="0">
                  <c:v>44307</c:v>
                </c:pt>
                <c:pt idx="1">
                  <c:v>44308</c:v>
                </c:pt>
                <c:pt idx="2">
                  <c:v>44309</c:v>
                </c:pt>
                <c:pt idx="3">
                  <c:v>44313</c:v>
                </c:pt>
                <c:pt idx="4">
                  <c:v>44314</c:v>
                </c:pt>
                <c:pt idx="5">
                  <c:v>44315</c:v>
                </c:pt>
              </c:numCache>
            </c:numRef>
          </c:cat>
          <c:val>
            <c:numRef>
              <c:f>'Cumulative Cost6'!$K$2:$K$7</c:f>
              <c:numCache>
                <c:formatCode>#,##0</c:formatCode>
                <c:ptCount val="6"/>
                <c:pt idx="0">
                  <c:v>65044</c:v>
                </c:pt>
                <c:pt idx="1">
                  <c:v>66253</c:v>
                </c:pt>
                <c:pt idx="2">
                  <c:v>60403</c:v>
                </c:pt>
                <c:pt idx="3">
                  <c:v>49725.667049180323</c:v>
                </c:pt>
                <c:pt idx="4">
                  <c:v>52088</c:v>
                </c:pt>
                <c:pt idx="5">
                  <c:v>51107.447704918035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F5-46D4-9F98-785CB6023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-1643849216"/>
        <c:axId val="-1643828544"/>
      </c:barChart>
      <c:lineChart>
        <c:grouping val="standard"/>
        <c:varyColors val="0"/>
        <c:ser>
          <c:idx val="1"/>
          <c:order val="1"/>
          <c:tx>
            <c:strRef>
              <c:f>'Cumulative Cost6'!$M$1</c:f>
              <c:strCache>
                <c:ptCount val="1"/>
                <c:pt idx="0">
                  <c:v>NP 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'Cumulative Cost6'!$G$2:$G$7</c:f>
              <c:numCache>
                <c:formatCode>m/d/yyyy</c:formatCode>
                <c:ptCount val="6"/>
                <c:pt idx="0">
                  <c:v>44307</c:v>
                </c:pt>
                <c:pt idx="1">
                  <c:v>44308</c:v>
                </c:pt>
                <c:pt idx="2">
                  <c:v>44309</c:v>
                </c:pt>
                <c:pt idx="3">
                  <c:v>44313</c:v>
                </c:pt>
                <c:pt idx="4">
                  <c:v>44314</c:v>
                </c:pt>
                <c:pt idx="5">
                  <c:v>44315</c:v>
                </c:pt>
              </c:numCache>
            </c:numRef>
          </c:cat>
          <c:val>
            <c:numRef>
              <c:f>'Cumulative Cost6'!$M$2:$M$7</c:f>
              <c:numCache>
                <c:formatCode>0%</c:formatCode>
                <c:ptCount val="6"/>
                <c:pt idx="0">
                  <c:v>0</c:v>
                </c:pt>
                <c:pt idx="1">
                  <c:v>0.19224881228555685</c:v>
                </c:pt>
                <c:pt idx="2">
                  <c:v>0.36752246039937042</c:v>
                </c:pt>
                <c:pt idx="3">
                  <c:v>0.51181329146078602</c:v>
                </c:pt>
                <c:pt idx="4">
                  <c:v>0.66295899255100199</c:v>
                </c:pt>
                <c:pt idx="5">
                  <c:v>0.81125938830993671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F5-46D4-9F98-785CB6023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43848672"/>
        <c:axId val="-1643838880"/>
      </c:lineChart>
      <c:dateAx>
        <c:axId val="-164384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28544"/>
        <c:crosses val="autoZero"/>
        <c:auto val="1"/>
        <c:lblOffset val="100"/>
        <c:baseTimeUnit val="days"/>
      </c:dateAx>
      <c:valAx>
        <c:axId val="-16438285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49216"/>
        <c:crosses val="autoZero"/>
        <c:crossBetween val="between"/>
      </c:valAx>
      <c:valAx>
        <c:axId val="-16438388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48672"/>
        <c:crosses val="max"/>
        <c:crossBetween val="between"/>
      </c:valAx>
      <c:dateAx>
        <c:axId val="-16438486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64383888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328027582851664"/>
          <c:y val="0.80742386976908787"/>
          <c:w val="0.15504480524005296"/>
          <c:h val="0.151686454923471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Opportunity Cost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'Cumulative Cost6'!$I$1</c:f>
              <c:strCache>
                <c:ptCount val="1"/>
                <c:pt idx="0">
                  <c:v>Cumulative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'Cumulative Cost6'!$G$2:$G$7</c:f>
              <c:numCache>
                <c:formatCode>m/d/yyyy</c:formatCode>
                <c:ptCount val="6"/>
                <c:pt idx="0">
                  <c:v>44307</c:v>
                </c:pt>
                <c:pt idx="1">
                  <c:v>44308</c:v>
                </c:pt>
                <c:pt idx="2">
                  <c:v>44309</c:v>
                </c:pt>
                <c:pt idx="3">
                  <c:v>44313</c:v>
                </c:pt>
                <c:pt idx="4">
                  <c:v>44314</c:v>
                </c:pt>
                <c:pt idx="5">
                  <c:v>44315</c:v>
                </c:pt>
              </c:numCache>
            </c:numRef>
          </c:cat>
          <c:val>
            <c:numRef>
              <c:f>'Cumulative Cost6'!$I$2:$I$7</c:f>
              <c:numCache>
                <c:formatCode>#,##0</c:formatCode>
                <c:ptCount val="6"/>
                <c:pt idx="0">
                  <c:v>0</c:v>
                </c:pt>
                <c:pt idx="1">
                  <c:v>352362</c:v>
                </c:pt>
                <c:pt idx="2">
                  <c:v>680192</c:v>
                </c:pt>
                <c:pt idx="3">
                  <c:v>952610.2885245902</c:v>
                </c:pt>
                <c:pt idx="4">
                  <c:v>1237968.2885245902</c:v>
                </c:pt>
                <c:pt idx="5">
                  <c:v>1517956.5573770492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AC-4921-973C-0A5508C1C118}"/>
            </c:ext>
          </c:extLst>
        </c:ser>
        <c:ser>
          <c:idx val="1"/>
          <c:order val="1"/>
          <c:tx>
            <c:strRef>
              <c:f>'Cumulative Cost6'!$L$1</c:f>
              <c:strCache>
                <c:ptCount val="1"/>
                <c:pt idx="0">
                  <c:v>Cumulative NP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'Cumulative Cost6'!$G$2:$G$7</c:f>
              <c:numCache>
                <c:formatCode>m/d/yyyy</c:formatCode>
                <c:ptCount val="6"/>
                <c:pt idx="0">
                  <c:v>44307</c:v>
                </c:pt>
                <c:pt idx="1">
                  <c:v>44308</c:v>
                </c:pt>
                <c:pt idx="2">
                  <c:v>44309</c:v>
                </c:pt>
                <c:pt idx="3">
                  <c:v>44313</c:v>
                </c:pt>
                <c:pt idx="4">
                  <c:v>44314</c:v>
                </c:pt>
                <c:pt idx="5">
                  <c:v>44315</c:v>
                </c:pt>
              </c:numCache>
            </c:numRef>
          </c:cat>
          <c:val>
            <c:numRef>
              <c:f>'Cumulative Cost6'!$L$2:$L$7</c:f>
              <c:numCache>
                <c:formatCode>#,##0</c:formatCode>
                <c:ptCount val="6"/>
                <c:pt idx="0">
                  <c:v>0</c:v>
                </c:pt>
                <c:pt idx="1">
                  <c:v>66253</c:v>
                </c:pt>
                <c:pt idx="2">
                  <c:v>126656</c:v>
                </c:pt>
                <c:pt idx="3">
                  <c:v>176381.66704918031</c:v>
                </c:pt>
                <c:pt idx="4">
                  <c:v>228469.66704918031</c:v>
                </c:pt>
                <c:pt idx="5">
                  <c:v>279577.11475409835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AC-4921-973C-0A5508C1C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43846496"/>
        <c:axId val="-1643847040"/>
      </c:areaChart>
      <c:valAx>
        <c:axId val="-164384704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LKR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46496"/>
        <c:crosses val="max"/>
        <c:crossBetween val="midCat"/>
      </c:valAx>
      <c:dateAx>
        <c:axId val="-16438464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6438470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plant).xlsx]Utilization!PivotTable1</c:name>
    <c:fmtId val="15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DC Occupancy  </a:t>
            </a:r>
          </a:p>
        </c:rich>
      </c:tx>
      <c:layout>
        <c:manualLayout>
          <c:xMode val="edge"/>
          <c:yMode val="edge"/>
          <c:x val="0.40218388030394175"/>
          <c:y val="3.06222809999839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88323917137476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5031890707865561E-3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5856873822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094728423926364E-2"/>
              <c:y val="8.311443563339895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6617926932756097E-2"/>
                  <c:h val="6.1134814295262879E-2"/>
                </c:manualLayout>
              </c15:layout>
            </c:ext>
          </c:extLst>
        </c:dLbl>
      </c:pivotFmt>
      <c:pivotFmt>
        <c:idx val="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624E-3"/>
              <c:y val="2.354048964218451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824858757062146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2.824858757062144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189018324187211E-2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4.708097928436911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2704946011568055E-3"/>
              <c:y val="1.88323917137476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6352473005783529E-3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1.88323917137476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412429378531064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472E-2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7928436911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290643344039424E-2"/>
              <c:y val="8.3299937979173903E-4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2998918205750262E-2"/>
              <c:y val="1.88323847322742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66757152943E-3"/>
              <c:y val="9.416195856873909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176236502890765E-3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17623650289143E-3"/>
              <c:y val="1.88323917137476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6352473005783529E-3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0146723617842588E-17"/>
              <c:y val="2.824858757062146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937853106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1134100135730538E-3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378033378576099E-3"/>
              <c:y val="1.883239171374773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2.824702729693371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372636373143073E-3"/>
              <c:y val="4.70783788282228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4527274628913E-3"/>
              <c:y val="9.415675765644572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207E-3"/>
              <c:y val="4.70783788282228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2.353918941411140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567576564452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layout>
            <c:manualLayout>
              <c:x val="1.3912075681691666E-2"/>
              <c:y val="9.4156757656445496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layout>
            <c:manualLayout>
              <c:x val="4.6373585605638179E-3"/>
              <c:y val="1.41235136484668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15E-2"/>
              <c:y val="9.415675765644572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23E-2"/>
              <c:y val="-4.707837882822371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layout>
            <c:manualLayout>
              <c:x val="1.0186319820605272E-2"/>
              <c:y val="9.415675765644593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13515312891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567576564452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179E-3"/>
              <c:y val="9.41567576564452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layout>
            <c:manualLayout>
              <c:x val="9.6133921365100794E-3"/>
              <c:y val="1.875783961382486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3.6369759604480295E-3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917137476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5856873822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1512146593498286E-3"/>
              <c:y val="1.412429378531064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4399902774738386E-3"/>
              <c:y val="1.5373608960756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4399902774739167E-3"/>
              <c:y val="2.56226816012602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2.1466634258246651E-3"/>
              <c:y val="1.02490726405040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785759979396858E-2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931561880903514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3726247523613896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781714055359065E-2"/>
              <c:y val="-8.63140995817466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4851272400784E-3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9928665010362E-2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4.6373585605639029E-3"/>
              <c:y val="-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378036648374571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1512146593498286E-3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861863677724757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2646256538622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1512146593498286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540989202313677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23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604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226820027146108E-2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54542201423486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1134109945123714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264623365003792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2646256538622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layout>
            <c:manualLayout>
              <c:x val="0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179E-3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624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069500494408064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4321419338441606E-3"/>
              <c:y val="2.82485770984114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1134109945123714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18901832418728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1134109945122968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189018324187286E-2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706859054971966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069500494408149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750821214126112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826402125443793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574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207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37772425454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1584121684288631E-2"/>
                  <c:h val="6.5842910478331435E-2"/>
                </c:manualLayout>
              </c15:layout>
            </c:ext>
          </c:extLst>
        </c:dLbl>
      </c:pivotFmt>
      <c:pivotFmt>
        <c:idx val="1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354048091534284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604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1.412428854920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4.708096183068616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624E-3"/>
              <c:y val="4.7080961830684876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-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4.708096183068552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744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8.63140995817466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842E-2"/>
              <c:y val="4.708096183068616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179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-8.63140995817466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88144426361E-3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94072213181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91108318921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851805329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7628885272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4.708096183068552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1.412428854920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624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412428854920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8664E-3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9389E-3"/>
              <c:y val="4.708096183068616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9.416192366137190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-8.63140995817466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88144424661E-3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91108319771E-3"/>
              <c:y val="9.416192366137190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91108319771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7036106589E-2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2.35404809153427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1.412428854920563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65708601956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1998673788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3141720391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54278135079E-3"/>
              <c:y val="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505472083101294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-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3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91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1998673788E-2"/>
              <c:y val="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65708601956E-3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-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0855627186E-2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3141720306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0971258058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2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09712580584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3141720306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91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0855627186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3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907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085562718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06E-2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91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085562718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236613712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562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1998673746E-2"/>
              <c:y val="9.41619236613712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91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8856953398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3141720306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4.708281541185974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1584121684288631E-2"/>
                  <c:h val="6.5842910478331435E-2"/>
                </c:manualLayout>
              </c15:layout>
            </c:ext>
          </c:extLst>
        </c:dLbl>
      </c:pivotFmt>
      <c:pivotFmt>
        <c:idx val="2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7528864521063877E-4"/>
              <c:y val="-5.64971541968228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56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7240568787900485E-3"/>
              <c:y val="1.88323847322742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905071098487481E-2"/>
              <c:y val="1.883238473227433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617217063636998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3620291885011417E-3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3620291885011417E-3"/>
              <c:y val="2.82485770984114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3521E-3"/>
              <c:y val="2.354048091534291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91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91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3521E-3"/>
              <c:y val="2.824857709841148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7328148001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732814800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2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7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3.295667328148001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611306747034E-17"/>
              <c:y val="2.35404809153427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5942505309E-3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611306747034E-17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2.644983815961883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5121E-3"/>
              <c:y val="3.085814451955535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5121E-3"/>
              <c:y val="2.20415317996823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498381596188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2.64498381596188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3322543974591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2.64498381596188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3521E-3"/>
              <c:y val="2.204153179968239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8.832837848223329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29981571713981E-3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503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7003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279205894922235E-2"/>
              <c:y val="4.416418924111664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0558411789844467E-3"/>
              <c:y val="3.533135139289327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2.0558411789844467E-3"/>
              <c:y val="2.649851354466994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3.09149324687816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4467E-3"/>
              <c:y val="8.832837848223329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4467E-3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3713E-3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131E-3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3713E-3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0558411789844467E-3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6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4467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09149324687816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3268790057802232E-16"/>
              <c:y val="3.09149324687816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3268790057802232E-16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3268790057802232E-16"/>
              <c:y val="2.649851354466994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3.53313513928932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3268790057802232E-16"/>
              <c:y val="3.533135139289327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09149324687816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7003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3.533135139289327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9363971307672333E-17"/>
              <c:y val="1.705372696110306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9363971307672333E-17"/>
              <c:y val="1.7053726961102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558059044165460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05372696110302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9363971307672333E-17"/>
              <c:y val="8.526863480551533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3.6188027290901589E-3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8094013645450794E-3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6188027290901589E-3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0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131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463E-3"/>
              <c:y val="2.6498513544669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3.09149324687816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8.832837848223329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8.83283784822328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463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-8.0966744940633811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4.416418924111664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8094013645450794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3.533135139289331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3.09149324687816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131E-3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3.09149324687816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3.09149324687816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1236274161516191E-8"/>
              <c:y val="8.8328378482233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5.6308570464642861E-2"/>
                  <c:h val="5.7347373604350764E-2"/>
                </c:manualLayout>
              </c15:layout>
            </c:ext>
          </c:extLst>
        </c:dLbl>
      </c:pivotFmt>
      <c:pivotFmt>
        <c:idx val="4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8.8328378482232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131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3.09149324687816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1.324925677233497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-3.533135139289333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-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-4.4164189241116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6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463E-3"/>
              <c:y val="2.6498513544669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8094013645450794E-3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131E-3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7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7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09149324687816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2.0558411789844467E-3"/>
              <c:y val="2.649851354466994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279205894922235E-2"/>
              <c:y val="4.416418924111664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2.0558411789844467E-3"/>
              <c:y val="2.649851354466994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279205894922235E-2"/>
              <c:y val="4.416418924111664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592833453983794"/>
          <c:y val="0.10298497005168897"/>
          <c:w val="0.6937798237013495"/>
          <c:h val="0.521754749537198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Utilization!$B$1</c:f>
              <c:strCache>
                <c:ptCount val="1"/>
                <c:pt idx="0">
                  <c:v>Capacity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5FB5-4576-9829-6A8AB6A1939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5FB5-4576-9829-6A8AB6A1939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5FB5-4576-9829-6A8AB6A1939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5FB5-4576-9829-6A8AB6A19390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5FB5-4576-9829-6A8AB6A19390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5FB5-4576-9829-6A8AB6A19390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Utilization!$A$2:$A$14</c:f>
              <c:multiLvlStrCache>
                <c:ptCount val="6"/>
                <c:lvl>
                  <c:pt idx="0">
                    <c:v>42%</c:v>
                  </c:pt>
                  <c:pt idx="1">
                    <c:v>72%</c:v>
                  </c:pt>
                  <c:pt idx="2">
                    <c:v>100%</c:v>
                  </c:pt>
                  <c:pt idx="3">
                    <c:v>47%</c:v>
                  </c:pt>
                  <c:pt idx="4">
                    <c:v>36%</c:v>
                  </c:pt>
                  <c:pt idx="5">
                    <c:v>60%</c:v>
                  </c:pt>
                </c:lvl>
                <c:lvl>
                  <c:pt idx="0">
                    <c:v>Expo Global Freeport </c:v>
                  </c:pt>
                  <c:pt idx="1">
                    <c:v>Hirdaramani Woven Client Warehouse </c:v>
                  </c:pt>
                  <c:pt idx="2">
                    <c:v>Kandana DC</c:v>
                  </c:pt>
                  <c:pt idx="3">
                    <c:v>Orugodawatta DC</c:v>
                  </c:pt>
                  <c:pt idx="4">
                    <c:v>Orugodawatta DC Cold Room </c:v>
                  </c:pt>
                  <c:pt idx="5">
                    <c:v>Peliyagoda DC</c:v>
                  </c:pt>
                </c:lvl>
              </c:multiLvlStrCache>
            </c:multiLvlStrRef>
          </c:cat>
          <c:val>
            <c:numRef>
              <c:f>Utilization!$B$2:$B$14</c:f>
              <c:numCache>
                <c:formatCode>General</c:formatCode>
                <c:ptCount val="6"/>
                <c:pt idx="0">
                  <c:v>21000</c:v>
                </c:pt>
                <c:pt idx="1">
                  <c:v>4300</c:v>
                </c:pt>
                <c:pt idx="2">
                  <c:v>7500</c:v>
                </c:pt>
                <c:pt idx="3">
                  <c:v>10300</c:v>
                </c:pt>
                <c:pt idx="4">
                  <c:v>100</c:v>
                </c:pt>
                <c:pt idx="5">
                  <c:v>10250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B5-4576-9829-6A8AB6A19390}"/>
            </c:ext>
          </c:extLst>
        </c:ser>
        <c:ser>
          <c:idx val="1"/>
          <c:order val="1"/>
          <c:tx>
            <c:strRef>
              <c:f>Utilization!$C$1</c:f>
              <c:strCache>
                <c:ptCount val="1"/>
                <c:pt idx="0">
                  <c:v>Occupancy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5FB5-4576-9829-6A8AB6A1939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5FB5-4576-9829-6A8AB6A1939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5FB5-4576-9829-6A8AB6A1939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5FB5-4576-9829-6A8AB6A19390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5FB5-4576-9829-6A8AB6A19390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5FB5-4576-9829-6A8AB6A19390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5FB5-4576-9829-6A8AB6A19390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Utilization!$A$2:$A$14</c:f>
              <c:multiLvlStrCache>
                <c:ptCount val="6"/>
                <c:lvl>
                  <c:pt idx="0">
                    <c:v>42%</c:v>
                  </c:pt>
                  <c:pt idx="1">
                    <c:v>72%</c:v>
                  </c:pt>
                  <c:pt idx="2">
                    <c:v>100%</c:v>
                  </c:pt>
                  <c:pt idx="3">
                    <c:v>47%</c:v>
                  </c:pt>
                  <c:pt idx="4">
                    <c:v>36%</c:v>
                  </c:pt>
                  <c:pt idx="5">
                    <c:v>60%</c:v>
                  </c:pt>
                </c:lvl>
                <c:lvl>
                  <c:pt idx="0">
                    <c:v>Expo Global Freeport </c:v>
                  </c:pt>
                  <c:pt idx="1">
                    <c:v>Hirdaramani Woven Client Warehouse </c:v>
                  </c:pt>
                  <c:pt idx="2">
                    <c:v>Kandana DC</c:v>
                  </c:pt>
                  <c:pt idx="3">
                    <c:v>Orugodawatta DC</c:v>
                  </c:pt>
                  <c:pt idx="4">
                    <c:v>Orugodawatta DC Cold Room </c:v>
                  </c:pt>
                  <c:pt idx="5">
                    <c:v>Peliyagoda DC</c:v>
                  </c:pt>
                </c:lvl>
              </c:multiLvlStrCache>
            </c:multiLvlStrRef>
          </c:cat>
          <c:val>
            <c:numRef>
              <c:f>Utilization!$C$2:$C$14</c:f>
              <c:numCache>
                <c:formatCode>General</c:formatCode>
                <c:ptCount val="6"/>
                <c:pt idx="0">
                  <c:v>8773.6718999999994</c:v>
                </c:pt>
                <c:pt idx="1">
                  <c:v>3114.8409999999999</c:v>
                </c:pt>
                <c:pt idx="2">
                  <c:v>7676.0394999999999</c:v>
                </c:pt>
                <c:pt idx="3">
                  <c:v>4837.7183473000014</c:v>
                </c:pt>
                <c:pt idx="4">
                  <c:v>36.439366699999859</c:v>
                </c:pt>
                <c:pt idx="5">
                  <c:v>6155.6408999999994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FB5-4576-9829-6A8AB6A1939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1644853616"/>
        <c:axId val="-1644859056"/>
      </c:barChart>
      <c:catAx>
        <c:axId val="-1644853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layout>
            <c:manualLayout>
              <c:xMode val="edge"/>
              <c:yMode val="edge"/>
              <c:x val="0.40575415573053369"/>
              <c:y val="0.90448765176282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9056"/>
        <c:crosses val="autoZero"/>
        <c:auto val="1"/>
        <c:lblAlgn val="ctr"/>
        <c:lblOffset val="100"/>
        <c:noMultiLvlLbl val="0"/>
      </c:catAx>
      <c:valAx>
        <c:axId val="-1644859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396640419947496"/>
          <c:y val="0.88602650256320126"/>
          <c:w val="0.27510936132983377"/>
          <c:h val="8.40789639386401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plant).xlsx]SheetPannal1!PivotTable1</c:name>
    <c:fmtId val="137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DC Occupancy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9487743405660775E-3"/>
              <c:y val="2.3468651979109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468651979109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49655025171584"/>
          <c:y val="0.16697959642152038"/>
          <c:w val="0.70456301449791403"/>
          <c:h val="0.615910488509303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SheetPannal1!$C$3</c:f>
              <c:strCache>
                <c:ptCount val="1"/>
                <c:pt idx="0">
                  <c:v>Capacity 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SheetPannal1!$A$4:$B$6</c:f>
              <c:multiLvlStrCache>
                <c:ptCount val="2"/>
                <c:lvl>
                  <c:pt idx="0">
                    <c:v>91%</c:v>
                  </c:pt>
                  <c:pt idx="1">
                    <c:v>57%</c:v>
                  </c:pt>
                </c:lvl>
                <c:lvl>
                  <c:pt idx="0">
                    <c:v>Main DC</c:v>
                  </c:pt>
                  <c:pt idx="1">
                    <c:v>BIPL</c:v>
                  </c:pt>
                </c:lvl>
              </c:multiLvlStrCache>
            </c:multiLvlStrRef>
          </c:cat>
          <c:val>
            <c:numRef>
              <c:f>SheetPannal1!$C$4:$C$6</c:f>
              <c:numCache>
                <c:formatCode>General</c:formatCode>
                <c:ptCount val="2"/>
                <c:pt idx="0">
                  <c:v>10131</c:v>
                </c:pt>
                <c:pt idx="1">
                  <c:v>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6D-44B5-A3E1-731449229722}"/>
            </c:ext>
          </c:extLst>
        </c:ser>
        <c:ser>
          <c:idx val="1"/>
          <c:order val="1"/>
          <c:tx>
            <c:strRef>
              <c:f>SheetPannal1!$D$3</c:f>
              <c:strCache>
                <c:ptCount val="1"/>
                <c:pt idx="0">
                  <c:v>Occupancy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SheetPannal1!$A$4:$B$6</c:f>
              <c:multiLvlStrCache>
                <c:ptCount val="2"/>
                <c:lvl>
                  <c:pt idx="0">
                    <c:v>91%</c:v>
                  </c:pt>
                  <c:pt idx="1">
                    <c:v>57%</c:v>
                  </c:pt>
                </c:lvl>
                <c:lvl>
                  <c:pt idx="0">
                    <c:v>Main DC</c:v>
                  </c:pt>
                  <c:pt idx="1">
                    <c:v>BIPL</c:v>
                  </c:pt>
                </c:lvl>
              </c:multiLvlStrCache>
            </c:multiLvlStrRef>
          </c:cat>
          <c:val>
            <c:numRef>
              <c:f>SheetPannal1!$D$4:$D$6</c:f>
              <c:numCache>
                <c:formatCode>General</c:formatCode>
                <c:ptCount val="2"/>
                <c:pt idx="0">
                  <c:v>9169</c:v>
                </c:pt>
                <c:pt idx="1">
                  <c:v>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6D-44B5-A3E1-7314492297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644856880"/>
        <c:axId val="-1643828000"/>
      </c:barChart>
      <c:catAx>
        <c:axId val="-1644856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28000"/>
        <c:crosses val="autoZero"/>
        <c:auto val="1"/>
        <c:lblAlgn val="ctr"/>
        <c:lblOffset val="100"/>
        <c:noMultiLvlLbl val="0"/>
      </c:catAx>
      <c:valAx>
        <c:axId val="-16438280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 of pallets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87751531058619"/>
          <c:y val="0.90314269926785484"/>
          <c:w val="0.26907330633808108"/>
          <c:h val="8.2498807637127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cap="none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cap="none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Opportunity Cost For the Day</a:t>
            </a:r>
          </a:p>
        </c:rich>
      </c:tx>
      <c:layout>
        <c:manualLayout>
          <c:xMode val="edge"/>
          <c:yMode val="edge"/>
          <c:x val="0.3194790026246719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cap="none" spc="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WH (2)'!$ABL$57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324-434A-AD91-0748BDA7C0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('All WH (2)'!$ABE$61,'All WH (2)'!$ABE$64,'All WH (2)'!$ABE$58,'All WH (2)'!$ABE$60,'All WH (2)'!$ABE$59)</c:f>
              <c:strCache>
                <c:ptCount val="5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Peliyagoda DC</c:v>
                </c:pt>
                <c:pt idx="4">
                  <c:v>Orugodawatta DC Cold Room </c:v>
                </c:pt>
              </c:strCache>
            </c:strRef>
          </c:cat>
          <c:val>
            <c:numRef>
              <c:f>('All WH (2)'!$ABL$61,'All WH (2)'!$ABL$64,'All WH (2)'!$ABL$58,'All WH (2)'!$ABL$60,'All WH (2)'!$ABL$59)</c:f>
              <c:numCache>
                <c:formatCode>#,##0</c:formatCode>
                <c:ptCount val="5"/>
                <c:pt idx="0">
                  <c:v>251.07010492140361</c:v>
                </c:pt>
                <c:pt idx="1">
                  <c:v>0</c:v>
                </c:pt>
                <c:pt idx="2">
                  <c:v>35372.873413245965</c:v>
                </c:pt>
                <c:pt idx="3">
                  <c:v>0</c:v>
                </c:pt>
                <c:pt idx="4">
                  <c:v>8193.8808162623009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24-434A-AD91-0748BDA7C03E}"/>
            </c:ext>
          </c:extLst>
        </c:ser>
        <c:ser>
          <c:idx val="1"/>
          <c:order val="1"/>
          <c:tx>
            <c:strRef>
              <c:f>'All WH (2)'!$ABM$57</c:f>
              <c:strCache>
                <c:ptCount val="1"/>
                <c:pt idx="0">
                  <c:v>Net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24-434A-AD91-0748BDA7C0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('All WH (2)'!$ABE$61,'All WH (2)'!$ABE$64,'All WH (2)'!$ABE$58,'All WH (2)'!$ABE$60,'All WH (2)'!$ABE$59)</c:f>
              <c:strCache>
                <c:ptCount val="5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Peliyagoda DC</c:v>
                </c:pt>
                <c:pt idx="4">
                  <c:v>Orugodawatta DC Cold Room </c:v>
                </c:pt>
              </c:strCache>
            </c:strRef>
          </c:cat>
          <c:val>
            <c:numRef>
              <c:f>('All WH (2)'!$ABM$61,'All WH (2)'!$ABM$64,'All WH (2)'!$ABM$58,'All WH (2)'!$ABM$60,'All WH (2)'!$ABM$59)</c:f>
              <c:numCache>
                <c:formatCode>#,##0</c:formatCode>
                <c:ptCount val="5"/>
                <c:pt idx="0">
                  <c:v>56.787829508959149</c:v>
                </c:pt>
                <c:pt idx="1">
                  <c:v>0</c:v>
                </c:pt>
                <c:pt idx="2">
                  <c:v>6456.7607976918152</c:v>
                </c:pt>
                <c:pt idx="3">
                  <c:v>0</c:v>
                </c:pt>
                <c:pt idx="4">
                  <c:v>1495.6638613245914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24-434A-AD91-0748BDA7C03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1643834528"/>
        <c:axId val="-1643822016"/>
      </c:barChart>
      <c:catAx>
        <c:axId val="-164383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22016"/>
        <c:crosses val="autoZero"/>
        <c:auto val="1"/>
        <c:lblAlgn val="ctr"/>
        <c:lblOffset val="100"/>
        <c:noMultiLvlLbl val="0"/>
      </c:catAx>
      <c:valAx>
        <c:axId val="-1643822016"/>
        <c:scaling>
          <c:orientation val="minMax"/>
          <c:max val="32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LKR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34528"/>
        <c:crosses val="autoZero"/>
        <c:crossBetween val="between"/>
        <c:majorUnit val="40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cap="none" spc="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WH (2)'!$ABL$160</c:f>
              <c:strCache>
                <c:ptCount val="1"/>
                <c:pt idx="0">
                  <c:v>Actual Sellable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WH (2)'!$ABF$161:$ABF$164</c:f>
              <c:strCache>
                <c:ptCount val="4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Peliyagoda DC</c:v>
                </c:pt>
              </c:strCache>
            </c:strRef>
          </c:cat>
          <c:val>
            <c:numRef>
              <c:f>'All WH (2)'!$ABL$161:$ABL$164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0E-45AE-93D8-B642A95DCE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643821472"/>
        <c:axId val="-1643830720"/>
      </c:barChart>
      <c:catAx>
        <c:axId val="-1643821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Distribution Centre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endParaRPr>
              </a:p>
            </c:rich>
          </c:tx>
          <c:layout>
            <c:manualLayout>
              <c:xMode val="edge"/>
              <c:yMode val="edge"/>
              <c:x val="0.33422790901137356"/>
              <c:y val="0.822175925925925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30720"/>
        <c:crosses val="autoZero"/>
        <c:auto val="1"/>
        <c:lblAlgn val="ctr"/>
        <c:lblOffset val="100"/>
        <c:noMultiLvlLbl val="0"/>
      </c:catAx>
      <c:valAx>
        <c:axId val="-16438307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2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plant).xlsx]All WH (2)!PivotTable2</c:name>
    <c:fmtId val="124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Sellable Space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WH (2)'!$UX$97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8936-4F7E-9BF2-47F491745D03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8936-4F7E-9BF2-47F491745D03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8936-4F7E-9BF2-47F491745D03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8936-4F7E-9BF2-47F491745D03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WH (2)'!$UW$98:$UW$104</c:f>
              <c:strCache>
                <c:ptCount val="6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Peliyagoda DC</c:v>
                </c:pt>
                <c:pt idx="4">
                  <c:v>Orugodawatta DC Cold Room </c:v>
                </c:pt>
                <c:pt idx="5">
                  <c:v>(blank)</c:v>
                </c:pt>
              </c:strCache>
            </c:strRef>
          </c:cat>
          <c:val>
            <c:numRef>
              <c:f>'All WH (2)'!$UX$98:$UX$104</c:f>
              <c:numCache>
                <c:formatCode>General</c:formatCode>
                <c:ptCount val="6"/>
                <c:pt idx="0">
                  <c:v>11596.328100000001</c:v>
                </c:pt>
                <c:pt idx="1">
                  <c:v>0</c:v>
                </c:pt>
                <c:pt idx="2">
                  <c:v>4741.2816526999986</c:v>
                </c:pt>
                <c:pt idx="3">
                  <c:v>3786.8591000000006</c:v>
                </c:pt>
                <c:pt idx="4">
                  <c:v>60.560633300000141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936-4F7E-9BF2-47F491745D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643850848"/>
        <c:axId val="-1643847584"/>
      </c:barChart>
      <c:catAx>
        <c:axId val="-1643850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47584"/>
        <c:crosses val="autoZero"/>
        <c:auto val="1"/>
        <c:lblAlgn val="ctr"/>
        <c:lblOffset val="100"/>
        <c:noMultiLvlLbl val="0"/>
      </c:catAx>
      <c:valAx>
        <c:axId val="-16438475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50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plant).xlsx]Average Sellable Space (Monday)!PivotTable1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>
                <a:effectLst/>
              </a:rPr>
              <a:t>Average Sellable Space - Week 50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Sellable Space (Monday)'!$L$3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'Average Sellable Space (Monday)'!$K$4:$K$8</c:f>
              <c:strCache>
                <c:ptCount val="5"/>
                <c:pt idx="0">
                  <c:v> Expo Global Freeport </c:v>
                </c:pt>
                <c:pt idx="1">
                  <c:v> Kandana DC</c:v>
                </c:pt>
                <c:pt idx="2">
                  <c:v> Orugodawatta DC</c:v>
                </c:pt>
                <c:pt idx="3">
                  <c:v> Orugodawatta DC Cold Room </c:v>
                </c:pt>
                <c:pt idx="4">
                  <c:v> Peliyagoda DC</c:v>
                </c:pt>
              </c:strCache>
            </c:strRef>
          </c:cat>
          <c:val>
            <c:numRef>
              <c:f>'Average Sellable Space (Monday)'!$L$4:$L$8</c:f>
              <c:numCache>
                <c:formatCode>0</c:formatCode>
                <c:ptCount val="5"/>
                <c:pt idx="0">
                  <c:v>6437.9433749999989</c:v>
                </c:pt>
                <c:pt idx="1">
                  <c:v>0</c:v>
                </c:pt>
                <c:pt idx="2">
                  <c:v>3606.8057035250004</c:v>
                </c:pt>
                <c:pt idx="3">
                  <c:v>87.723496475000005</c:v>
                </c:pt>
                <c:pt idx="4">
                  <c:v>1708.4339249999998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C-43A9-9970-19042B68EE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13509007"/>
        <c:axId val="1013526479"/>
      </c:barChart>
      <c:catAx>
        <c:axId val="1013509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0" i="0" baseline="0">
                    <a:effectLst/>
                  </a:rPr>
                  <a:t>Distribution Center</a:t>
                </a:r>
                <a:endParaRPr lang="en-US" sz="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526479"/>
        <c:crosses val="autoZero"/>
        <c:auto val="1"/>
        <c:lblAlgn val="ctr"/>
        <c:lblOffset val="100"/>
        <c:noMultiLvlLbl val="0"/>
      </c:catAx>
      <c:valAx>
        <c:axId val="10135264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50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Sheet1!$G$5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Sheet1!$F$6:$F$228</c:f>
              <c:strCache>
                <c:ptCount val="222"/>
                <c:pt idx="0">
                  <c:v>13/11/2018</c:v>
                </c:pt>
                <c:pt idx="1">
                  <c:v>14/11/2018</c:v>
                </c:pt>
                <c:pt idx="2">
                  <c:v>16/11/2018</c:v>
                </c:pt>
                <c:pt idx="3">
                  <c:v>19/11/2018</c:v>
                </c:pt>
                <c:pt idx="4">
                  <c:v>21/11/2018</c:v>
                </c:pt>
                <c:pt idx="5">
                  <c:v>26/11/2018</c:v>
                </c:pt>
                <c:pt idx="6">
                  <c:v>30/10/2018</c:v>
                </c:pt>
                <c:pt idx="7">
                  <c:v>31/10/2018</c:v>
                </c:pt>
                <c:pt idx="8">
                  <c:v>1/2/2018</c:v>
                </c:pt>
                <c:pt idx="9">
                  <c:v>1/4/2018</c:v>
                </c:pt>
                <c:pt idx="10">
                  <c:v>1/11/2018</c:v>
                </c:pt>
                <c:pt idx="11">
                  <c:v>5/11/2018</c:v>
                </c:pt>
                <c:pt idx="12">
                  <c:v>6/11/2018</c:v>
                </c:pt>
                <c:pt idx="13">
                  <c:v>7/11/2018</c:v>
                </c:pt>
                <c:pt idx="14">
                  <c:v>8/11/2018</c:v>
                </c:pt>
                <c:pt idx="15">
                  <c:v>9/11/2018</c:v>
                </c:pt>
                <c:pt idx="16">
                  <c:v>11/27/2018</c:v>
                </c:pt>
                <c:pt idx="17">
                  <c:v>11/28/2018</c:v>
                </c:pt>
                <c:pt idx="18">
                  <c:v>11/29/2018</c:v>
                </c:pt>
                <c:pt idx="19">
                  <c:v>11/30/2018</c:v>
                </c:pt>
                <c:pt idx="20">
                  <c:v>12/1/2018</c:v>
                </c:pt>
                <c:pt idx="21">
                  <c:v>12/2/2018</c:v>
                </c:pt>
                <c:pt idx="22">
                  <c:v>12/3/2018</c:v>
                </c:pt>
                <c:pt idx="23">
                  <c:v>12/4/2018</c:v>
                </c:pt>
                <c:pt idx="24">
                  <c:v>12/5/2018</c:v>
                </c:pt>
                <c:pt idx="25">
                  <c:v>12/6/2018</c:v>
                </c:pt>
                <c:pt idx="26">
                  <c:v>12/9/2018</c:v>
                </c:pt>
                <c:pt idx="27">
                  <c:v>12/10/2018</c:v>
                </c:pt>
                <c:pt idx="28">
                  <c:v>12/11/2018</c:v>
                </c:pt>
                <c:pt idx="29">
                  <c:v>12/13/2018</c:v>
                </c:pt>
                <c:pt idx="30">
                  <c:v>12/17/2018</c:v>
                </c:pt>
                <c:pt idx="31">
                  <c:v>12/19/2018</c:v>
                </c:pt>
                <c:pt idx="32">
                  <c:v>12/20/2018</c:v>
                </c:pt>
                <c:pt idx="33">
                  <c:v>12/27/2018</c:v>
                </c:pt>
                <c:pt idx="34">
                  <c:v>12/28/2018</c:v>
                </c:pt>
                <c:pt idx="35">
                  <c:v>1/7/2019</c:v>
                </c:pt>
                <c:pt idx="36">
                  <c:v>1/8/2019</c:v>
                </c:pt>
                <c:pt idx="37">
                  <c:v>1/9/2019</c:v>
                </c:pt>
                <c:pt idx="38">
                  <c:v>1/10/2019</c:v>
                </c:pt>
                <c:pt idx="39">
                  <c:v>1/11/2019</c:v>
                </c:pt>
                <c:pt idx="40">
                  <c:v>1/14/2019</c:v>
                </c:pt>
                <c:pt idx="41">
                  <c:v>1/16/2019</c:v>
                </c:pt>
                <c:pt idx="42">
                  <c:v>1/18/2019</c:v>
                </c:pt>
                <c:pt idx="43">
                  <c:v>1/21/2019</c:v>
                </c:pt>
                <c:pt idx="44">
                  <c:v>1/22/2019</c:v>
                </c:pt>
                <c:pt idx="45">
                  <c:v>1/24/2019</c:v>
                </c:pt>
                <c:pt idx="46">
                  <c:v>1/25/2019</c:v>
                </c:pt>
                <c:pt idx="47">
                  <c:v>1/29/2019</c:v>
                </c:pt>
                <c:pt idx="48">
                  <c:v>1/30/2019</c:v>
                </c:pt>
                <c:pt idx="49">
                  <c:v>1/31/2019</c:v>
                </c:pt>
                <c:pt idx="50">
                  <c:v>2/1/2019</c:v>
                </c:pt>
                <c:pt idx="51">
                  <c:v>2/5/2019</c:v>
                </c:pt>
                <c:pt idx="52">
                  <c:v>2/6/2019</c:v>
                </c:pt>
                <c:pt idx="53">
                  <c:v>2/7/2019</c:v>
                </c:pt>
                <c:pt idx="54">
                  <c:v>2/8/2019</c:v>
                </c:pt>
                <c:pt idx="55">
                  <c:v>2/10/2019</c:v>
                </c:pt>
                <c:pt idx="56">
                  <c:v>2/13/2019</c:v>
                </c:pt>
                <c:pt idx="57">
                  <c:v>2/14/2019</c:v>
                </c:pt>
                <c:pt idx="58">
                  <c:v>2/15/2019</c:v>
                </c:pt>
                <c:pt idx="59">
                  <c:v>2/18/2019</c:v>
                </c:pt>
                <c:pt idx="60">
                  <c:v>2/20/2019</c:v>
                </c:pt>
                <c:pt idx="61">
                  <c:v>2/21/2019</c:v>
                </c:pt>
                <c:pt idx="62">
                  <c:v>2/22/2019</c:v>
                </c:pt>
                <c:pt idx="63">
                  <c:v>2/25/2019</c:v>
                </c:pt>
                <c:pt idx="64">
                  <c:v>2/26/2019</c:v>
                </c:pt>
                <c:pt idx="65">
                  <c:v>2/27/2019</c:v>
                </c:pt>
                <c:pt idx="66">
                  <c:v>2/28/2019</c:v>
                </c:pt>
                <c:pt idx="67">
                  <c:v>3/1/2019</c:v>
                </c:pt>
                <c:pt idx="68">
                  <c:v>3/4/2019</c:v>
                </c:pt>
                <c:pt idx="69">
                  <c:v>3/5/2019</c:v>
                </c:pt>
                <c:pt idx="70">
                  <c:v>3/6/2019</c:v>
                </c:pt>
                <c:pt idx="71">
                  <c:v>3/7/2019</c:v>
                </c:pt>
                <c:pt idx="72">
                  <c:v>3/8/2019</c:v>
                </c:pt>
                <c:pt idx="73">
                  <c:v>3/11/2019</c:v>
                </c:pt>
                <c:pt idx="74">
                  <c:v>3/12/2019</c:v>
                </c:pt>
                <c:pt idx="75">
                  <c:v>3/13/2019</c:v>
                </c:pt>
                <c:pt idx="76">
                  <c:v>3/14/2019</c:v>
                </c:pt>
                <c:pt idx="77">
                  <c:v>3/15/2019</c:v>
                </c:pt>
                <c:pt idx="78">
                  <c:v>3/18/2019</c:v>
                </c:pt>
                <c:pt idx="79">
                  <c:v>3/21/2019</c:v>
                </c:pt>
                <c:pt idx="80">
                  <c:v>3/22/2019</c:v>
                </c:pt>
                <c:pt idx="81">
                  <c:v>3/25/2019</c:v>
                </c:pt>
                <c:pt idx="82">
                  <c:v>3/26/2019</c:v>
                </c:pt>
                <c:pt idx="83">
                  <c:v>3/27/2019</c:v>
                </c:pt>
                <c:pt idx="84">
                  <c:v>3/28/2019</c:v>
                </c:pt>
                <c:pt idx="85">
                  <c:v>4/3/2019</c:v>
                </c:pt>
                <c:pt idx="86">
                  <c:v>4/5/2019</c:v>
                </c:pt>
                <c:pt idx="87">
                  <c:v>4/9/2019</c:v>
                </c:pt>
                <c:pt idx="88">
                  <c:v>4/11/2019</c:v>
                </c:pt>
                <c:pt idx="89">
                  <c:v>4/22/2019</c:v>
                </c:pt>
                <c:pt idx="90">
                  <c:v>4/24/2019</c:v>
                </c:pt>
                <c:pt idx="91">
                  <c:v>4/25/2019</c:v>
                </c:pt>
                <c:pt idx="92">
                  <c:v>4/26/2019</c:v>
                </c:pt>
                <c:pt idx="93">
                  <c:v>4/29/2019</c:v>
                </c:pt>
                <c:pt idx="94">
                  <c:v>4/30/2019</c:v>
                </c:pt>
                <c:pt idx="95">
                  <c:v>5/2/2019</c:v>
                </c:pt>
                <c:pt idx="96">
                  <c:v>5/21/2019</c:v>
                </c:pt>
                <c:pt idx="97">
                  <c:v>5/22/2019</c:v>
                </c:pt>
                <c:pt idx="98">
                  <c:v>5/23/2019</c:v>
                </c:pt>
                <c:pt idx="99">
                  <c:v>5/24/2019</c:v>
                </c:pt>
                <c:pt idx="100">
                  <c:v>5/27/2019</c:v>
                </c:pt>
                <c:pt idx="101">
                  <c:v>5/28/2019</c:v>
                </c:pt>
                <c:pt idx="102">
                  <c:v>5/29/2019</c:v>
                </c:pt>
                <c:pt idx="103">
                  <c:v>5/30/2019</c:v>
                </c:pt>
                <c:pt idx="104">
                  <c:v>5/31/2019</c:v>
                </c:pt>
                <c:pt idx="105">
                  <c:v>6/1/2019</c:v>
                </c:pt>
                <c:pt idx="106">
                  <c:v>6/4/2019</c:v>
                </c:pt>
                <c:pt idx="107">
                  <c:v>6/5/2019</c:v>
                </c:pt>
                <c:pt idx="108">
                  <c:v>6/6/2019</c:v>
                </c:pt>
                <c:pt idx="109">
                  <c:v>6/10/2019</c:v>
                </c:pt>
                <c:pt idx="110">
                  <c:v>6/11/2019</c:v>
                </c:pt>
                <c:pt idx="111">
                  <c:v>6/12/2019</c:v>
                </c:pt>
                <c:pt idx="112">
                  <c:v>6/13/2019</c:v>
                </c:pt>
                <c:pt idx="113">
                  <c:v>6/14/2019</c:v>
                </c:pt>
                <c:pt idx="114">
                  <c:v>6/17/2019</c:v>
                </c:pt>
                <c:pt idx="115">
                  <c:v>6/18/2019</c:v>
                </c:pt>
                <c:pt idx="116">
                  <c:v>6/19/2019</c:v>
                </c:pt>
                <c:pt idx="117">
                  <c:v>6/20/2019</c:v>
                </c:pt>
                <c:pt idx="118">
                  <c:v>6/21/2019</c:v>
                </c:pt>
                <c:pt idx="119">
                  <c:v>6/24/2019</c:v>
                </c:pt>
                <c:pt idx="120">
                  <c:v>6/25/2019</c:v>
                </c:pt>
                <c:pt idx="121">
                  <c:v>6/27/2019</c:v>
                </c:pt>
                <c:pt idx="122">
                  <c:v>6/28/2019</c:v>
                </c:pt>
                <c:pt idx="123">
                  <c:v>7/1/2019</c:v>
                </c:pt>
                <c:pt idx="124">
                  <c:v>7/2/2019</c:v>
                </c:pt>
                <c:pt idx="125">
                  <c:v>7/5/2019</c:v>
                </c:pt>
                <c:pt idx="126">
                  <c:v>7/8/2019</c:v>
                </c:pt>
                <c:pt idx="127">
                  <c:v>7/9/2019</c:v>
                </c:pt>
                <c:pt idx="128">
                  <c:v>7/10/2019</c:v>
                </c:pt>
                <c:pt idx="129">
                  <c:v>7/11/2019</c:v>
                </c:pt>
                <c:pt idx="130">
                  <c:v>7/12/2019</c:v>
                </c:pt>
                <c:pt idx="131">
                  <c:v>7/15/2019</c:v>
                </c:pt>
                <c:pt idx="132">
                  <c:v>7/17/2019</c:v>
                </c:pt>
                <c:pt idx="133">
                  <c:v>7/18/2019</c:v>
                </c:pt>
                <c:pt idx="134">
                  <c:v>7/19/2019</c:v>
                </c:pt>
                <c:pt idx="135">
                  <c:v>7/23/2019</c:v>
                </c:pt>
                <c:pt idx="136">
                  <c:v>7/24/2019</c:v>
                </c:pt>
                <c:pt idx="137">
                  <c:v>7/25/2019</c:v>
                </c:pt>
                <c:pt idx="138">
                  <c:v>7/26/2019</c:v>
                </c:pt>
                <c:pt idx="139">
                  <c:v>7/29/2019</c:v>
                </c:pt>
                <c:pt idx="140">
                  <c:v>7/30/2019</c:v>
                </c:pt>
                <c:pt idx="141">
                  <c:v>7/31/2019</c:v>
                </c:pt>
                <c:pt idx="142">
                  <c:v>8/2/2019</c:v>
                </c:pt>
                <c:pt idx="143">
                  <c:v>8/5/2019</c:v>
                </c:pt>
                <c:pt idx="144">
                  <c:v>8/7/2019</c:v>
                </c:pt>
                <c:pt idx="145">
                  <c:v>8/9/2019</c:v>
                </c:pt>
                <c:pt idx="146">
                  <c:v>8/12/2019</c:v>
                </c:pt>
                <c:pt idx="147">
                  <c:v>8/13/2019</c:v>
                </c:pt>
                <c:pt idx="148">
                  <c:v>8/15/2019</c:v>
                </c:pt>
                <c:pt idx="149">
                  <c:v>8/16/2019</c:v>
                </c:pt>
                <c:pt idx="150">
                  <c:v>8/23/2019</c:v>
                </c:pt>
                <c:pt idx="151">
                  <c:v>9/18/2019</c:v>
                </c:pt>
                <c:pt idx="152">
                  <c:v>9/19/2019</c:v>
                </c:pt>
                <c:pt idx="153">
                  <c:v>9/20/2019</c:v>
                </c:pt>
                <c:pt idx="154">
                  <c:v>9/21/2019</c:v>
                </c:pt>
                <c:pt idx="155">
                  <c:v>9/27/2019</c:v>
                </c:pt>
                <c:pt idx="156">
                  <c:v>9/30/2019</c:v>
                </c:pt>
                <c:pt idx="157">
                  <c:v>10/1/2019</c:v>
                </c:pt>
                <c:pt idx="158">
                  <c:v>10/2/2019</c:v>
                </c:pt>
                <c:pt idx="159">
                  <c:v>10/3/2019</c:v>
                </c:pt>
                <c:pt idx="160">
                  <c:v>10/4/2019</c:v>
                </c:pt>
                <c:pt idx="161">
                  <c:v>10/7/2019</c:v>
                </c:pt>
                <c:pt idx="162">
                  <c:v>10/8/2019</c:v>
                </c:pt>
                <c:pt idx="163">
                  <c:v>10/9/2019</c:v>
                </c:pt>
                <c:pt idx="164">
                  <c:v>10/10/2019</c:v>
                </c:pt>
                <c:pt idx="165">
                  <c:v>10/11/2019</c:v>
                </c:pt>
                <c:pt idx="166">
                  <c:v>10/14/2019</c:v>
                </c:pt>
                <c:pt idx="167">
                  <c:v>10/15/2019</c:v>
                </c:pt>
                <c:pt idx="168">
                  <c:v>10/17/2019</c:v>
                </c:pt>
                <c:pt idx="169">
                  <c:v>10/18/2019</c:v>
                </c:pt>
                <c:pt idx="170">
                  <c:v>10/21/2019</c:v>
                </c:pt>
                <c:pt idx="171">
                  <c:v>10/22/2019</c:v>
                </c:pt>
                <c:pt idx="172">
                  <c:v>10/23/2019</c:v>
                </c:pt>
                <c:pt idx="173">
                  <c:v>10/24/2019</c:v>
                </c:pt>
                <c:pt idx="174">
                  <c:v>10/28/2019</c:v>
                </c:pt>
                <c:pt idx="175">
                  <c:v>10/29/2019</c:v>
                </c:pt>
                <c:pt idx="176">
                  <c:v>10/30/2019</c:v>
                </c:pt>
                <c:pt idx="177">
                  <c:v>11/4/2019</c:v>
                </c:pt>
                <c:pt idx="178">
                  <c:v>11/6/2019</c:v>
                </c:pt>
                <c:pt idx="179">
                  <c:v>11/7/2019</c:v>
                </c:pt>
                <c:pt idx="180">
                  <c:v>11/11/2019</c:v>
                </c:pt>
                <c:pt idx="181">
                  <c:v>11/13/2019</c:v>
                </c:pt>
                <c:pt idx="182">
                  <c:v>11/14/2019</c:v>
                </c:pt>
                <c:pt idx="183">
                  <c:v>11/15/2019</c:v>
                </c:pt>
                <c:pt idx="184">
                  <c:v>11/18/2019</c:v>
                </c:pt>
                <c:pt idx="185">
                  <c:v>11/21/2019</c:v>
                </c:pt>
                <c:pt idx="186">
                  <c:v>11/22/2019</c:v>
                </c:pt>
                <c:pt idx="187">
                  <c:v>11/25/2019</c:v>
                </c:pt>
                <c:pt idx="188">
                  <c:v>11/26/2019</c:v>
                </c:pt>
                <c:pt idx="189">
                  <c:v>11/30/2019</c:v>
                </c:pt>
                <c:pt idx="190">
                  <c:v>12/3/2019</c:v>
                </c:pt>
                <c:pt idx="191">
                  <c:v>12/4/2019</c:v>
                </c:pt>
                <c:pt idx="192">
                  <c:v>12/5/2019</c:v>
                </c:pt>
                <c:pt idx="193">
                  <c:v>12/6/2019</c:v>
                </c:pt>
                <c:pt idx="194">
                  <c:v>12/9/2019</c:v>
                </c:pt>
                <c:pt idx="195">
                  <c:v>12/10/2019</c:v>
                </c:pt>
                <c:pt idx="196">
                  <c:v>12/12/2019</c:v>
                </c:pt>
                <c:pt idx="197">
                  <c:v>12/16/2019</c:v>
                </c:pt>
                <c:pt idx="198">
                  <c:v>12/17/2019</c:v>
                </c:pt>
                <c:pt idx="199">
                  <c:v>12/19/2019</c:v>
                </c:pt>
                <c:pt idx="200">
                  <c:v>12/20/2019</c:v>
                </c:pt>
                <c:pt idx="201">
                  <c:v>12/23/2019</c:v>
                </c:pt>
                <c:pt idx="202">
                  <c:v>12/26/2019</c:v>
                </c:pt>
                <c:pt idx="203">
                  <c:v>12/30/2019</c:v>
                </c:pt>
                <c:pt idx="204">
                  <c:v>1/2/2020</c:v>
                </c:pt>
                <c:pt idx="205">
                  <c:v>1/3/2020</c:v>
                </c:pt>
                <c:pt idx="206">
                  <c:v>1/6/2020</c:v>
                </c:pt>
                <c:pt idx="207">
                  <c:v>1/7/2020</c:v>
                </c:pt>
                <c:pt idx="208">
                  <c:v>1/8/2020</c:v>
                </c:pt>
                <c:pt idx="209">
                  <c:v>1/9/2020</c:v>
                </c:pt>
                <c:pt idx="210">
                  <c:v>1/13/2020</c:v>
                </c:pt>
                <c:pt idx="211">
                  <c:v>1/17/2020</c:v>
                </c:pt>
                <c:pt idx="212">
                  <c:v>1/20/2020</c:v>
                </c:pt>
                <c:pt idx="213">
                  <c:v>1/22/2020</c:v>
                </c:pt>
                <c:pt idx="214">
                  <c:v>1/23/2020</c:v>
                </c:pt>
                <c:pt idx="215">
                  <c:v>1/27/2020</c:v>
                </c:pt>
                <c:pt idx="216">
                  <c:v>1/29/2020</c:v>
                </c:pt>
                <c:pt idx="217">
                  <c:v>1/30/2020</c:v>
                </c:pt>
                <c:pt idx="218">
                  <c:v>2/3/2020</c:v>
                </c:pt>
                <c:pt idx="219">
                  <c:v>2/6/2020</c:v>
                </c:pt>
                <c:pt idx="220">
                  <c:v>2/7/2020</c:v>
                </c:pt>
                <c:pt idx="221">
                  <c:v>2/10/2020</c:v>
                </c:pt>
              </c:strCache>
            </c:strRef>
          </c:cat>
          <c:val>
            <c:numRef>
              <c:f>Sheet1!$G$6:$G$228</c:f>
              <c:numCache>
                <c:formatCode>General</c:formatCode>
                <c:ptCount val="222"/>
                <c:pt idx="0">
                  <c:v>8974</c:v>
                </c:pt>
                <c:pt idx="1">
                  <c:v>9119</c:v>
                </c:pt>
                <c:pt idx="2">
                  <c:v>9291</c:v>
                </c:pt>
                <c:pt idx="3">
                  <c:v>9228</c:v>
                </c:pt>
                <c:pt idx="4">
                  <c:v>9031</c:v>
                </c:pt>
                <c:pt idx="5">
                  <c:v>9341</c:v>
                </c:pt>
                <c:pt idx="6">
                  <c:v>9146</c:v>
                </c:pt>
                <c:pt idx="7">
                  <c:v>9170</c:v>
                </c:pt>
                <c:pt idx="8">
                  <c:v>11689</c:v>
                </c:pt>
                <c:pt idx="9">
                  <c:v>11470</c:v>
                </c:pt>
                <c:pt idx="10">
                  <c:v>9138</c:v>
                </c:pt>
                <c:pt idx="11">
                  <c:v>9049</c:v>
                </c:pt>
                <c:pt idx="12">
                  <c:v>9049</c:v>
                </c:pt>
                <c:pt idx="13">
                  <c:v>9026</c:v>
                </c:pt>
                <c:pt idx="14">
                  <c:v>9076</c:v>
                </c:pt>
                <c:pt idx="15">
                  <c:v>9066</c:v>
                </c:pt>
                <c:pt idx="16">
                  <c:v>9241</c:v>
                </c:pt>
                <c:pt idx="17">
                  <c:v>9722</c:v>
                </c:pt>
                <c:pt idx="18">
                  <c:v>9744</c:v>
                </c:pt>
                <c:pt idx="19">
                  <c:v>9831</c:v>
                </c:pt>
                <c:pt idx="22">
                  <c:v>9974</c:v>
                </c:pt>
                <c:pt idx="23">
                  <c:v>9918</c:v>
                </c:pt>
                <c:pt idx="24">
                  <c:v>9804</c:v>
                </c:pt>
                <c:pt idx="25">
                  <c:v>10097</c:v>
                </c:pt>
                <c:pt idx="26">
                  <c:v>9946</c:v>
                </c:pt>
                <c:pt idx="28">
                  <c:v>8909</c:v>
                </c:pt>
                <c:pt idx="29">
                  <c:v>10130</c:v>
                </c:pt>
                <c:pt idx="30">
                  <c:v>10577</c:v>
                </c:pt>
                <c:pt idx="31">
                  <c:v>10627</c:v>
                </c:pt>
                <c:pt idx="32">
                  <c:v>10716</c:v>
                </c:pt>
                <c:pt idx="33">
                  <c:v>11300</c:v>
                </c:pt>
                <c:pt idx="34">
                  <c:v>11181</c:v>
                </c:pt>
                <c:pt idx="35">
                  <c:v>11444</c:v>
                </c:pt>
                <c:pt idx="36">
                  <c:v>11391</c:v>
                </c:pt>
                <c:pt idx="37">
                  <c:v>11143</c:v>
                </c:pt>
                <c:pt idx="38">
                  <c:v>11254</c:v>
                </c:pt>
                <c:pt idx="39">
                  <c:v>11167</c:v>
                </c:pt>
                <c:pt idx="40">
                  <c:v>11478</c:v>
                </c:pt>
                <c:pt idx="41">
                  <c:v>11682</c:v>
                </c:pt>
                <c:pt idx="42">
                  <c:v>11875</c:v>
                </c:pt>
                <c:pt idx="43">
                  <c:v>11603</c:v>
                </c:pt>
                <c:pt idx="44">
                  <c:v>11572</c:v>
                </c:pt>
                <c:pt idx="45">
                  <c:v>11056</c:v>
                </c:pt>
                <c:pt idx="46">
                  <c:v>11107</c:v>
                </c:pt>
                <c:pt idx="47">
                  <c:v>11295</c:v>
                </c:pt>
                <c:pt idx="48">
                  <c:v>11306</c:v>
                </c:pt>
                <c:pt idx="49">
                  <c:v>11579</c:v>
                </c:pt>
                <c:pt idx="50">
                  <c:v>11689</c:v>
                </c:pt>
                <c:pt idx="51">
                  <c:v>11397</c:v>
                </c:pt>
                <c:pt idx="52">
                  <c:v>11396</c:v>
                </c:pt>
                <c:pt idx="53">
                  <c:v>11268</c:v>
                </c:pt>
                <c:pt idx="54">
                  <c:v>11065</c:v>
                </c:pt>
                <c:pt idx="55">
                  <c:v>11328</c:v>
                </c:pt>
                <c:pt idx="56">
                  <c:v>11302</c:v>
                </c:pt>
                <c:pt idx="57">
                  <c:v>11557</c:v>
                </c:pt>
                <c:pt idx="58">
                  <c:v>11595</c:v>
                </c:pt>
                <c:pt idx="59">
                  <c:v>11917</c:v>
                </c:pt>
                <c:pt idx="60">
                  <c:v>11665</c:v>
                </c:pt>
                <c:pt idx="61">
                  <c:v>11654</c:v>
                </c:pt>
                <c:pt idx="62">
                  <c:v>11360</c:v>
                </c:pt>
                <c:pt idx="63">
                  <c:v>11221</c:v>
                </c:pt>
                <c:pt idx="64">
                  <c:v>11221</c:v>
                </c:pt>
                <c:pt idx="65">
                  <c:v>11271</c:v>
                </c:pt>
                <c:pt idx="66">
                  <c:v>10090</c:v>
                </c:pt>
                <c:pt idx="67">
                  <c:v>9985</c:v>
                </c:pt>
                <c:pt idx="68">
                  <c:v>9835</c:v>
                </c:pt>
                <c:pt idx="69">
                  <c:v>9835</c:v>
                </c:pt>
                <c:pt idx="70">
                  <c:v>9852</c:v>
                </c:pt>
                <c:pt idx="71">
                  <c:v>9793</c:v>
                </c:pt>
                <c:pt idx="72">
                  <c:v>9920</c:v>
                </c:pt>
                <c:pt idx="73">
                  <c:v>9321</c:v>
                </c:pt>
                <c:pt idx="74">
                  <c:v>9331</c:v>
                </c:pt>
                <c:pt idx="75">
                  <c:v>9231</c:v>
                </c:pt>
                <c:pt idx="76">
                  <c:v>8966</c:v>
                </c:pt>
                <c:pt idx="77">
                  <c:v>8995</c:v>
                </c:pt>
                <c:pt idx="78">
                  <c:v>8849</c:v>
                </c:pt>
                <c:pt idx="79">
                  <c:v>8866</c:v>
                </c:pt>
                <c:pt idx="80">
                  <c:v>8810</c:v>
                </c:pt>
                <c:pt idx="81">
                  <c:v>8899</c:v>
                </c:pt>
                <c:pt idx="82">
                  <c:v>8899</c:v>
                </c:pt>
                <c:pt idx="83">
                  <c:v>8736</c:v>
                </c:pt>
                <c:pt idx="84">
                  <c:v>8955</c:v>
                </c:pt>
                <c:pt idx="85">
                  <c:v>7495</c:v>
                </c:pt>
                <c:pt idx="86">
                  <c:v>7700</c:v>
                </c:pt>
                <c:pt idx="87">
                  <c:v>8088</c:v>
                </c:pt>
                <c:pt idx="88">
                  <c:v>8163</c:v>
                </c:pt>
                <c:pt idx="89">
                  <c:v>8965</c:v>
                </c:pt>
                <c:pt idx="90">
                  <c:v>8920</c:v>
                </c:pt>
                <c:pt idx="91">
                  <c:v>8835</c:v>
                </c:pt>
                <c:pt idx="92">
                  <c:v>8471</c:v>
                </c:pt>
                <c:pt idx="93">
                  <c:v>8514</c:v>
                </c:pt>
                <c:pt idx="94">
                  <c:v>8560</c:v>
                </c:pt>
                <c:pt idx="95">
                  <c:v>8824</c:v>
                </c:pt>
                <c:pt idx="96">
                  <c:v>8818</c:v>
                </c:pt>
                <c:pt idx="97">
                  <c:v>8855</c:v>
                </c:pt>
                <c:pt idx="98">
                  <c:v>8765</c:v>
                </c:pt>
                <c:pt idx="99">
                  <c:v>8922</c:v>
                </c:pt>
                <c:pt idx="100">
                  <c:v>9023</c:v>
                </c:pt>
                <c:pt idx="101">
                  <c:v>9055</c:v>
                </c:pt>
                <c:pt idx="102">
                  <c:v>8998</c:v>
                </c:pt>
                <c:pt idx="103">
                  <c:v>9138</c:v>
                </c:pt>
                <c:pt idx="104">
                  <c:v>9211</c:v>
                </c:pt>
                <c:pt idx="105">
                  <c:v>9086</c:v>
                </c:pt>
                <c:pt idx="106">
                  <c:v>9132</c:v>
                </c:pt>
                <c:pt idx="107">
                  <c:v>9014</c:v>
                </c:pt>
                <c:pt idx="108">
                  <c:v>9246</c:v>
                </c:pt>
                <c:pt idx="109">
                  <c:v>9904</c:v>
                </c:pt>
                <c:pt idx="110">
                  <c:v>9900</c:v>
                </c:pt>
                <c:pt idx="111">
                  <c:v>9989</c:v>
                </c:pt>
                <c:pt idx="112">
                  <c:v>10008</c:v>
                </c:pt>
                <c:pt idx="113">
                  <c:v>10280</c:v>
                </c:pt>
                <c:pt idx="114">
                  <c:v>10280</c:v>
                </c:pt>
                <c:pt idx="115">
                  <c:v>10889</c:v>
                </c:pt>
                <c:pt idx="116">
                  <c:v>10885</c:v>
                </c:pt>
                <c:pt idx="117">
                  <c:v>11067</c:v>
                </c:pt>
                <c:pt idx="118">
                  <c:v>11728</c:v>
                </c:pt>
                <c:pt idx="119">
                  <c:v>11683</c:v>
                </c:pt>
                <c:pt idx="120">
                  <c:v>12019</c:v>
                </c:pt>
                <c:pt idx="121">
                  <c:v>11774</c:v>
                </c:pt>
                <c:pt idx="122">
                  <c:v>11847</c:v>
                </c:pt>
                <c:pt idx="123">
                  <c:v>11748</c:v>
                </c:pt>
                <c:pt idx="124">
                  <c:v>12375</c:v>
                </c:pt>
                <c:pt idx="125">
                  <c:v>12881</c:v>
                </c:pt>
                <c:pt idx="126">
                  <c:v>13022</c:v>
                </c:pt>
                <c:pt idx="127">
                  <c:v>12530</c:v>
                </c:pt>
                <c:pt idx="128">
                  <c:v>12451</c:v>
                </c:pt>
                <c:pt idx="129">
                  <c:v>13412</c:v>
                </c:pt>
                <c:pt idx="130">
                  <c:v>13397</c:v>
                </c:pt>
                <c:pt idx="131">
                  <c:v>14249</c:v>
                </c:pt>
                <c:pt idx="132">
                  <c:v>14119</c:v>
                </c:pt>
                <c:pt idx="133">
                  <c:v>13370</c:v>
                </c:pt>
                <c:pt idx="134">
                  <c:v>13496</c:v>
                </c:pt>
                <c:pt idx="135">
                  <c:v>13288</c:v>
                </c:pt>
                <c:pt idx="136">
                  <c:v>13115</c:v>
                </c:pt>
                <c:pt idx="137">
                  <c:v>13104</c:v>
                </c:pt>
                <c:pt idx="138">
                  <c:v>13104</c:v>
                </c:pt>
                <c:pt idx="139">
                  <c:v>12894</c:v>
                </c:pt>
                <c:pt idx="140">
                  <c:v>12894</c:v>
                </c:pt>
                <c:pt idx="141">
                  <c:v>12660</c:v>
                </c:pt>
                <c:pt idx="142">
                  <c:v>12153</c:v>
                </c:pt>
                <c:pt idx="143">
                  <c:v>11890</c:v>
                </c:pt>
                <c:pt idx="144">
                  <c:v>11936</c:v>
                </c:pt>
                <c:pt idx="145">
                  <c:v>12178</c:v>
                </c:pt>
                <c:pt idx="146">
                  <c:v>12395</c:v>
                </c:pt>
                <c:pt idx="147">
                  <c:v>12347</c:v>
                </c:pt>
                <c:pt idx="148">
                  <c:v>12763</c:v>
                </c:pt>
                <c:pt idx="149">
                  <c:v>12763</c:v>
                </c:pt>
                <c:pt idx="150">
                  <c:v>12965</c:v>
                </c:pt>
                <c:pt idx="151">
                  <c:v>11793</c:v>
                </c:pt>
                <c:pt idx="152">
                  <c:v>11870</c:v>
                </c:pt>
                <c:pt idx="153">
                  <c:v>12065</c:v>
                </c:pt>
                <c:pt idx="154">
                  <c:v>12065</c:v>
                </c:pt>
                <c:pt idx="155">
                  <c:v>12317</c:v>
                </c:pt>
                <c:pt idx="156">
                  <c:v>12143</c:v>
                </c:pt>
                <c:pt idx="157">
                  <c:v>12055</c:v>
                </c:pt>
                <c:pt idx="158">
                  <c:v>12039</c:v>
                </c:pt>
                <c:pt idx="159">
                  <c:v>12039</c:v>
                </c:pt>
                <c:pt idx="160">
                  <c:v>12215</c:v>
                </c:pt>
                <c:pt idx="161">
                  <c:v>12158</c:v>
                </c:pt>
                <c:pt idx="162">
                  <c:v>12054</c:v>
                </c:pt>
                <c:pt idx="163">
                  <c:v>11960</c:v>
                </c:pt>
                <c:pt idx="164">
                  <c:v>12119</c:v>
                </c:pt>
                <c:pt idx="165">
                  <c:v>12286</c:v>
                </c:pt>
                <c:pt idx="166">
                  <c:v>12008</c:v>
                </c:pt>
                <c:pt idx="167">
                  <c:v>12085</c:v>
                </c:pt>
                <c:pt idx="168">
                  <c:v>12202</c:v>
                </c:pt>
                <c:pt idx="169">
                  <c:v>12568</c:v>
                </c:pt>
                <c:pt idx="170">
                  <c:v>12675</c:v>
                </c:pt>
                <c:pt idx="171">
                  <c:v>12675</c:v>
                </c:pt>
                <c:pt idx="172">
                  <c:v>12677</c:v>
                </c:pt>
                <c:pt idx="173">
                  <c:v>12690</c:v>
                </c:pt>
                <c:pt idx="174">
                  <c:v>13037</c:v>
                </c:pt>
                <c:pt idx="175">
                  <c:v>12801</c:v>
                </c:pt>
                <c:pt idx="177">
                  <c:v>12652</c:v>
                </c:pt>
                <c:pt idx="178">
                  <c:v>12799</c:v>
                </c:pt>
                <c:pt idx="179">
                  <c:v>13085</c:v>
                </c:pt>
                <c:pt idx="180">
                  <c:v>14114</c:v>
                </c:pt>
                <c:pt idx="181">
                  <c:v>14359</c:v>
                </c:pt>
                <c:pt idx="182">
                  <c:v>14506</c:v>
                </c:pt>
                <c:pt idx="183">
                  <c:v>14436</c:v>
                </c:pt>
                <c:pt idx="184">
                  <c:v>14550</c:v>
                </c:pt>
                <c:pt idx="185">
                  <c:v>14372</c:v>
                </c:pt>
                <c:pt idx="186">
                  <c:v>14259</c:v>
                </c:pt>
                <c:pt idx="187">
                  <c:v>13268</c:v>
                </c:pt>
                <c:pt idx="188">
                  <c:v>13083</c:v>
                </c:pt>
                <c:pt idx="189">
                  <c:v>13316</c:v>
                </c:pt>
                <c:pt idx="190">
                  <c:v>13276</c:v>
                </c:pt>
                <c:pt idx="191">
                  <c:v>13509</c:v>
                </c:pt>
                <c:pt idx="192">
                  <c:v>13331</c:v>
                </c:pt>
                <c:pt idx="193">
                  <c:v>13473</c:v>
                </c:pt>
                <c:pt idx="194">
                  <c:v>13303</c:v>
                </c:pt>
                <c:pt idx="195">
                  <c:v>13255</c:v>
                </c:pt>
                <c:pt idx="196">
                  <c:v>13156</c:v>
                </c:pt>
                <c:pt idx="197">
                  <c:v>12432</c:v>
                </c:pt>
                <c:pt idx="198">
                  <c:v>12314</c:v>
                </c:pt>
                <c:pt idx="199">
                  <c:v>12656</c:v>
                </c:pt>
                <c:pt idx="200">
                  <c:v>13183</c:v>
                </c:pt>
                <c:pt idx="201">
                  <c:v>12920</c:v>
                </c:pt>
                <c:pt idx="202">
                  <c:v>12424</c:v>
                </c:pt>
                <c:pt idx="203">
                  <c:v>12578</c:v>
                </c:pt>
                <c:pt idx="204">
                  <c:v>12289</c:v>
                </c:pt>
                <c:pt idx="205">
                  <c:v>12203</c:v>
                </c:pt>
                <c:pt idx="206">
                  <c:v>12370</c:v>
                </c:pt>
                <c:pt idx="207">
                  <c:v>12438</c:v>
                </c:pt>
                <c:pt idx="208">
                  <c:v>12632</c:v>
                </c:pt>
                <c:pt idx="209">
                  <c:v>12872</c:v>
                </c:pt>
                <c:pt idx="210">
                  <c:v>13096</c:v>
                </c:pt>
                <c:pt idx="211">
                  <c:v>13213</c:v>
                </c:pt>
                <c:pt idx="212">
                  <c:v>12755</c:v>
                </c:pt>
                <c:pt idx="213">
                  <c:v>12927</c:v>
                </c:pt>
                <c:pt idx="214">
                  <c:v>13255</c:v>
                </c:pt>
                <c:pt idx="215">
                  <c:v>13184</c:v>
                </c:pt>
                <c:pt idx="216">
                  <c:v>13135</c:v>
                </c:pt>
                <c:pt idx="217">
                  <c:v>13055</c:v>
                </c:pt>
                <c:pt idx="218">
                  <c:v>14126</c:v>
                </c:pt>
                <c:pt idx="219">
                  <c:v>14347</c:v>
                </c:pt>
                <c:pt idx="220">
                  <c:v>14984</c:v>
                </c:pt>
                <c:pt idx="221">
                  <c:v>15545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1-401D-A447-0B05911D7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43833440"/>
        <c:axId val="-1643831808"/>
      </c:lineChart>
      <c:catAx>
        <c:axId val="-164383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31808"/>
        <c:crosses val="autoZero"/>
        <c:auto val="1"/>
        <c:lblAlgn val="ctr"/>
        <c:lblOffset val="100"/>
        <c:noMultiLvlLbl val="0"/>
      </c:catAx>
      <c:valAx>
        <c:axId val="-164383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3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plant).xlsx]WH Occu. trend Analysis!PivotTable2</c:name>
    <c:fmtId val="15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DC Occupancy - Trend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'WH Occu. trend Analysis'!$O$599</c:f>
              <c:strCache>
                <c:ptCount val="1"/>
                <c:pt idx="0">
                  <c:v>Expo Global Freeport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'WH Occu. trend Analysis'!$N$600:$N$850</c:f>
              <c:strCache>
                <c:ptCount val="250"/>
                <c:pt idx="0">
                  <c:v>7/4/2022</c:v>
                </c:pt>
                <c:pt idx="1">
                  <c:v>7/5/2022</c:v>
                </c:pt>
                <c:pt idx="2">
                  <c:v>7/6/2022</c:v>
                </c:pt>
                <c:pt idx="3">
                  <c:v>7/7/2022</c:v>
                </c:pt>
                <c:pt idx="4">
                  <c:v>7/8/2022</c:v>
                </c:pt>
                <c:pt idx="5">
                  <c:v>7/11/2022</c:v>
                </c:pt>
                <c:pt idx="6">
                  <c:v>7/12/2022</c:v>
                </c:pt>
                <c:pt idx="7">
                  <c:v>7/14/2022</c:v>
                </c:pt>
                <c:pt idx="8">
                  <c:v>7/15/2022</c:v>
                </c:pt>
                <c:pt idx="9">
                  <c:v>7/18/2022</c:v>
                </c:pt>
                <c:pt idx="10">
                  <c:v>7/19/2022</c:v>
                </c:pt>
                <c:pt idx="11">
                  <c:v>7/20/2022</c:v>
                </c:pt>
                <c:pt idx="12">
                  <c:v>7/21/2022</c:v>
                </c:pt>
                <c:pt idx="13">
                  <c:v>7/22/2022</c:v>
                </c:pt>
                <c:pt idx="14">
                  <c:v>7/25/2022</c:v>
                </c:pt>
                <c:pt idx="15">
                  <c:v>7/26/2022</c:v>
                </c:pt>
                <c:pt idx="16">
                  <c:v>7/27/2022</c:v>
                </c:pt>
                <c:pt idx="17">
                  <c:v>7/28/2022</c:v>
                </c:pt>
                <c:pt idx="18">
                  <c:v>7/29/2022</c:v>
                </c:pt>
                <c:pt idx="19">
                  <c:v>8/1/2022</c:v>
                </c:pt>
                <c:pt idx="20">
                  <c:v>8/2/2022</c:v>
                </c:pt>
                <c:pt idx="21">
                  <c:v>8/3/2022</c:v>
                </c:pt>
                <c:pt idx="22">
                  <c:v>8/4/2022</c:v>
                </c:pt>
                <c:pt idx="23">
                  <c:v>8/5/2022</c:v>
                </c:pt>
                <c:pt idx="24">
                  <c:v>8/8/2022</c:v>
                </c:pt>
                <c:pt idx="25">
                  <c:v>8/9/2022</c:v>
                </c:pt>
                <c:pt idx="26">
                  <c:v>8/10/2022</c:v>
                </c:pt>
                <c:pt idx="27">
                  <c:v>8/15/2022</c:v>
                </c:pt>
                <c:pt idx="28">
                  <c:v>8/16/2022</c:v>
                </c:pt>
                <c:pt idx="29">
                  <c:v>8/17/2022</c:v>
                </c:pt>
                <c:pt idx="30">
                  <c:v>8/18/2022</c:v>
                </c:pt>
                <c:pt idx="31">
                  <c:v>8/19/2022</c:v>
                </c:pt>
                <c:pt idx="32">
                  <c:v>8/22/2022</c:v>
                </c:pt>
                <c:pt idx="33">
                  <c:v>8/23/2022</c:v>
                </c:pt>
                <c:pt idx="34">
                  <c:v>8/24/2022</c:v>
                </c:pt>
                <c:pt idx="35">
                  <c:v>8/25/2022</c:v>
                </c:pt>
                <c:pt idx="36">
                  <c:v>8/26/2022</c:v>
                </c:pt>
                <c:pt idx="37">
                  <c:v>8/29/2022</c:v>
                </c:pt>
                <c:pt idx="38">
                  <c:v>8/30/2022</c:v>
                </c:pt>
                <c:pt idx="39">
                  <c:v>8/31/2022</c:v>
                </c:pt>
                <c:pt idx="40">
                  <c:v>9/1/2022</c:v>
                </c:pt>
                <c:pt idx="41">
                  <c:v>9/2/2022</c:v>
                </c:pt>
                <c:pt idx="42">
                  <c:v>9/5/2022</c:v>
                </c:pt>
                <c:pt idx="43">
                  <c:v>9/6/2022</c:v>
                </c:pt>
                <c:pt idx="44">
                  <c:v>9/7/2022</c:v>
                </c:pt>
                <c:pt idx="45">
                  <c:v>9/9/2022</c:v>
                </c:pt>
                <c:pt idx="46">
                  <c:v>9/13/2022</c:v>
                </c:pt>
                <c:pt idx="47">
                  <c:v>9/14/2022</c:v>
                </c:pt>
                <c:pt idx="48">
                  <c:v>9/15/2022</c:v>
                </c:pt>
                <c:pt idx="49">
                  <c:v>9/16/2022</c:v>
                </c:pt>
                <c:pt idx="50">
                  <c:v>9/19/2022</c:v>
                </c:pt>
                <c:pt idx="51">
                  <c:v>9/20/2022</c:v>
                </c:pt>
                <c:pt idx="52">
                  <c:v>9/21/2022</c:v>
                </c:pt>
                <c:pt idx="53">
                  <c:v>9/22/2022</c:v>
                </c:pt>
                <c:pt idx="54">
                  <c:v>9/23/2022</c:v>
                </c:pt>
                <c:pt idx="55">
                  <c:v>9/26/2022</c:v>
                </c:pt>
                <c:pt idx="56">
                  <c:v>9/27/2022</c:v>
                </c:pt>
                <c:pt idx="57">
                  <c:v>9/28/2022</c:v>
                </c:pt>
                <c:pt idx="58">
                  <c:v>9/29/2022</c:v>
                </c:pt>
                <c:pt idx="59">
                  <c:v>9/30/2022</c:v>
                </c:pt>
                <c:pt idx="60">
                  <c:v>10/3/2022</c:v>
                </c:pt>
                <c:pt idx="61">
                  <c:v>10/4/2022</c:v>
                </c:pt>
                <c:pt idx="62">
                  <c:v>10/5/2022</c:v>
                </c:pt>
                <c:pt idx="63">
                  <c:v>10/6/2022</c:v>
                </c:pt>
                <c:pt idx="64">
                  <c:v>10/7/2022</c:v>
                </c:pt>
                <c:pt idx="65">
                  <c:v>10/10/2022</c:v>
                </c:pt>
                <c:pt idx="66">
                  <c:v>10/11/2022</c:v>
                </c:pt>
                <c:pt idx="67">
                  <c:v>10/12/2022</c:v>
                </c:pt>
                <c:pt idx="68">
                  <c:v>10/13/2022</c:v>
                </c:pt>
                <c:pt idx="69">
                  <c:v>10/14/2022</c:v>
                </c:pt>
                <c:pt idx="70">
                  <c:v>10/17/2022</c:v>
                </c:pt>
                <c:pt idx="71">
                  <c:v>10/18/2022</c:v>
                </c:pt>
                <c:pt idx="72">
                  <c:v>10/19/2022</c:v>
                </c:pt>
                <c:pt idx="73">
                  <c:v>10/20/2022</c:v>
                </c:pt>
                <c:pt idx="74">
                  <c:v>10/21/2022</c:v>
                </c:pt>
                <c:pt idx="75">
                  <c:v>10/24/2022</c:v>
                </c:pt>
                <c:pt idx="76">
                  <c:v>10/25/2022</c:v>
                </c:pt>
                <c:pt idx="77">
                  <c:v>10/26/2022</c:v>
                </c:pt>
                <c:pt idx="78">
                  <c:v>10/27/2022</c:v>
                </c:pt>
                <c:pt idx="79">
                  <c:v>10/28/2022</c:v>
                </c:pt>
                <c:pt idx="80">
                  <c:v>10/31/2022</c:v>
                </c:pt>
                <c:pt idx="81">
                  <c:v>11/1/2022</c:v>
                </c:pt>
                <c:pt idx="82">
                  <c:v>11/2/2022</c:v>
                </c:pt>
                <c:pt idx="83">
                  <c:v>11/3/2022</c:v>
                </c:pt>
                <c:pt idx="84">
                  <c:v>11/4/2022</c:v>
                </c:pt>
                <c:pt idx="85">
                  <c:v>11/8/2022</c:v>
                </c:pt>
                <c:pt idx="86">
                  <c:v>11/9/2022</c:v>
                </c:pt>
                <c:pt idx="87">
                  <c:v>11/10/2022</c:v>
                </c:pt>
                <c:pt idx="88">
                  <c:v>11/11/2022</c:v>
                </c:pt>
                <c:pt idx="89">
                  <c:v>11/15/2022</c:v>
                </c:pt>
                <c:pt idx="90">
                  <c:v>11/16/2022</c:v>
                </c:pt>
                <c:pt idx="91">
                  <c:v>11/17/2022</c:v>
                </c:pt>
                <c:pt idx="92">
                  <c:v>11/18/2022</c:v>
                </c:pt>
                <c:pt idx="93">
                  <c:v>11/21/2022</c:v>
                </c:pt>
                <c:pt idx="94">
                  <c:v>11/22/2022</c:v>
                </c:pt>
                <c:pt idx="95">
                  <c:v>11/23/2022</c:v>
                </c:pt>
                <c:pt idx="96">
                  <c:v>11/24/2022</c:v>
                </c:pt>
                <c:pt idx="97">
                  <c:v>11/25/2022</c:v>
                </c:pt>
                <c:pt idx="98">
                  <c:v>11/28/2022</c:v>
                </c:pt>
                <c:pt idx="99">
                  <c:v>11/30/2022</c:v>
                </c:pt>
                <c:pt idx="100">
                  <c:v>12/1/2022</c:v>
                </c:pt>
                <c:pt idx="101">
                  <c:v>12/2/2022</c:v>
                </c:pt>
                <c:pt idx="102">
                  <c:v>12/5/2022</c:v>
                </c:pt>
                <c:pt idx="103">
                  <c:v>12/6/2022</c:v>
                </c:pt>
                <c:pt idx="104">
                  <c:v>12/8/2022</c:v>
                </c:pt>
                <c:pt idx="105">
                  <c:v>12/9/2022</c:v>
                </c:pt>
                <c:pt idx="106">
                  <c:v>12/12/2022</c:v>
                </c:pt>
                <c:pt idx="107">
                  <c:v>12/13/2022</c:v>
                </c:pt>
                <c:pt idx="108">
                  <c:v>12/14/2022</c:v>
                </c:pt>
                <c:pt idx="109">
                  <c:v>12/15/2022</c:v>
                </c:pt>
                <c:pt idx="110">
                  <c:v>12/16/2022</c:v>
                </c:pt>
                <c:pt idx="111">
                  <c:v>12/19/2022</c:v>
                </c:pt>
                <c:pt idx="112">
                  <c:v>12/20/2022</c:v>
                </c:pt>
                <c:pt idx="113">
                  <c:v>12/22/2022</c:v>
                </c:pt>
                <c:pt idx="114">
                  <c:v>12/23/2022</c:v>
                </c:pt>
                <c:pt idx="115">
                  <c:v>12/27/2022</c:v>
                </c:pt>
                <c:pt idx="116">
                  <c:v>12/28/2022</c:v>
                </c:pt>
                <c:pt idx="117">
                  <c:v>12/29/2022</c:v>
                </c:pt>
                <c:pt idx="118">
                  <c:v>12/30/2022</c:v>
                </c:pt>
                <c:pt idx="119">
                  <c:v>1/2/2023</c:v>
                </c:pt>
                <c:pt idx="120">
                  <c:v>1/3/2023</c:v>
                </c:pt>
                <c:pt idx="121">
                  <c:v>1/4/2023</c:v>
                </c:pt>
                <c:pt idx="122">
                  <c:v>1/5/2023</c:v>
                </c:pt>
                <c:pt idx="123">
                  <c:v>1/9/2023</c:v>
                </c:pt>
                <c:pt idx="124">
                  <c:v>1/10/2023</c:v>
                </c:pt>
                <c:pt idx="125">
                  <c:v>1/11/2023</c:v>
                </c:pt>
                <c:pt idx="126">
                  <c:v>1/12/2023</c:v>
                </c:pt>
                <c:pt idx="127">
                  <c:v>1/13/2023</c:v>
                </c:pt>
                <c:pt idx="128">
                  <c:v>1/16/2023</c:v>
                </c:pt>
                <c:pt idx="129">
                  <c:v>1/17/2023</c:v>
                </c:pt>
                <c:pt idx="130">
                  <c:v>1/18/2023</c:v>
                </c:pt>
                <c:pt idx="131">
                  <c:v>1/19/2023</c:v>
                </c:pt>
                <c:pt idx="132">
                  <c:v>1/20/2023</c:v>
                </c:pt>
                <c:pt idx="133">
                  <c:v>1/23/2023</c:v>
                </c:pt>
                <c:pt idx="134">
                  <c:v>1/24/2023</c:v>
                </c:pt>
                <c:pt idx="135">
                  <c:v>1/25/2023</c:v>
                </c:pt>
                <c:pt idx="136">
                  <c:v>1/26/2023</c:v>
                </c:pt>
                <c:pt idx="137">
                  <c:v>1/27/2023</c:v>
                </c:pt>
                <c:pt idx="138">
                  <c:v>1/30/2023</c:v>
                </c:pt>
                <c:pt idx="139">
                  <c:v>1/31/2023</c:v>
                </c:pt>
                <c:pt idx="140">
                  <c:v>2/1/2023</c:v>
                </c:pt>
                <c:pt idx="141">
                  <c:v>2/2/2023</c:v>
                </c:pt>
                <c:pt idx="142">
                  <c:v>2/3/2023</c:v>
                </c:pt>
                <c:pt idx="143">
                  <c:v>2/6/2023</c:v>
                </c:pt>
                <c:pt idx="144">
                  <c:v>2/7/2023</c:v>
                </c:pt>
                <c:pt idx="145">
                  <c:v>2/8/2023</c:v>
                </c:pt>
                <c:pt idx="146">
                  <c:v>2/9/2023</c:v>
                </c:pt>
                <c:pt idx="147">
                  <c:v>2/10/2023</c:v>
                </c:pt>
                <c:pt idx="148">
                  <c:v>2/13/2023</c:v>
                </c:pt>
                <c:pt idx="149">
                  <c:v>2/14/2023</c:v>
                </c:pt>
                <c:pt idx="150">
                  <c:v>2/15/2023</c:v>
                </c:pt>
                <c:pt idx="151">
                  <c:v>2/16/2023</c:v>
                </c:pt>
                <c:pt idx="152">
                  <c:v>2/17/2023</c:v>
                </c:pt>
                <c:pt idx="153">
                  <c:v>2/20/2023</c:v>
                </c:pt>
                <c:pt idx="154">
                  <c:v>2/21/2023</c:v>
                </c:pt>
                <c:pt idx="155">
                  <c:v>2/22/2023</c:v>
                </c:pt>
                <c:pt idx="156">
                  <c:v>2/23/2023</c:v>
                </c:pt>
                <c:pt idx="157">
                  <c:v>2/24/2023</c:v>
                </c:pt>
                <c:pt idx="158">
                  <c:v>2/27/2023</c:v>
                </c:pt>
                <c:pt idx="159">
                  <c:v>2/28/2023</c:v>
                </c:pt>
                <c:pt idx="160">
                  <c:v>3/1/2023</c:v>
                </c:pt>
                <c:pt idx="161">
                  <c:v>3/2/2023</c:v>
                </c:pt>
                <c:pt idx="162">
                  <c:v>3/3/2023</c:v>
                </c:pt>
                <c:pt idx="163">
                  <c:v>3/7/2023</c:v>
                </c:pt>
                <c:pt idx="164">
                  <c:v>3/8/2023</c:v>
                </c:pt>
                <c:pt idx="165">
                  <c:v>3/9/2023</c:v>
                </c:pt>
                <c:pt idx="166">
                  <c:v>3/10/2023</c:v>
                </c:pt>
                <c:pt idx="167">
                  <c:v>3/13/2023</c:v>
                </c:pt>
                <c:pt idx="168">
                  <c:v>3/14/2023</c:v>
                </c:pt>
                <c:pt idx="169">
                  <c:v>3/15/2023</c:v>
                </c:pt>
                <c:pt idx="170">
                  <c:v>3/16/2023</c:v>
                </c:pt>
                <c:pt idx="171">
                  <c:v>3/17/2023</c:v>
                </c:pt>
                <c:pt idx="172">
                  <c:v>3/20/2023</c:v>
                </c:pt>
                <c:pt idx="173">
                  <c:v>3/21/2023</c:v>
                </c:pt>
                <c:pt idx="174">
                  <c:v>3/22/2023</c:v>
                </c:pt>
                <c:pt idx="175">
                  <c:v>3/23/2023</c:v>
                </c:pt>
                <c:pt idx="176">
                  <c:v>3/24/2023</c:v>
                </c:pt>
                <c:pt idx="177">
                  <c:v>3/27/2023</c:v>
                </c:pt>
                <c:pt idx="178">
                  <c:v>3/28/2023</c:v>
                </c:pt>
                <c:pt idx="179">
                  <c:v>3/29/2023</c:v>
                </c:pt>
                <c:pt idx="180">
                  <c:v>3/30/2023</c:v>
                </c:pt>
                <c:pt idx="181">
                  <c:v>3/31/2023</c:v>
                </c:pt>
                <c:pt idx="182">
                  <c:v>4/3/2023</c:v>
                </c:pt>
                <c:pt idx="183">
                  <c:v>4/4/2023</c:v>
                </c:pt>
                <c:pt idx="184">
                  <c:v>4/6/2023</c:v>
                </c:pt>
                <c:pt idx="185">
                  <c:v>4/7/2023</c:v>
                </c:pt>
                <c:pt idx="186">
                  <c:v>4/10/2023</c:v>
                </c:pt>
                <c:pt idx="187">
                  <c:v>4/17/2023</c:v>
                </c:pt>
                <c:pt idx="188">
                  <c:v>4/18/2023</c:v>
                </c:pt>
                <c:pt idx="189">
                  <c:v>4/19/2023</c:v>
                </c:pt>
                <c:pt idx="190">
                  <c:v>4/20/2023</c:v>
                </c:pt>
                <c:pt idx="191">
                  <c:v>4/21/2023</c:v>
                </c:pt>
                <c:pt idx="192">
                  <c:v>4/24/2023</c:v>
                </c:pt>
                <c:pt idx="193">
                  <c:v>4/25/2023</c:v>
                </c:pt>
                <c:pt idx="194">
                  <c:v>4/26/2023</c:v>
                </c:pt>
                <c:pt idx="195">
                  <c:v>4/27/2023</c:v>
                </c:pt>
                <c:pt idx="196">
                  <c:v>4/28/2023</c:v>
                </c:pt>
                <c:pt idx="197">
                  <c:v>5/2/2023</c:v>
                </c:pt>
                <c:pt idx="198">
                  <c:v>5/3/2023</c:v>
                </c:pt>
                <c:pt idx="199">
                  <c:v>5/4/2023</c:v>
                </c:pt>
                <c:pt idx="200">
                  <c:v>5/8/2023</c:v>
                </c:pt>
                <c:pt idx="201">
                  <c:v>5/9/2023</c:v>
                </c:pt>
                <c:pt idx="202">
                  <c:v>5/10/2023</c:v>
                </c:pt>
                <c:pt idx="203">
                  <c:v>5/11/2023</c:v>
                </c:pt>
                <c:pt idx="204">
                  <c:v>5/12/2023</c:v>
                </c:pt>
                <c:pt idx="205">
                  <c:v>5/15/2023</c:v>
                </c:pt>
                <c:pt idx="206">
                  <c:v>5/16/2023</c:v>
                </c:pt>
                <c:pt idx="207">
                  <c:v>5/17/2023</c:v>
                </c:pt>
                <c:pt idx="208">
                  <c:v>5/18/2023</c:v>
                </c:pt>
                <c:pt idx="209">
                  <c:v>5/19/2023</c:v>
                </c:pt>
                <c:pt idx="210">
                  <c:v>5/22/2023</c:v>
                </c:pt>
                <c:pt idx="211">
                  <c:v>5/23/2023</c:v>
                </c:pt>
                <c:pt idx="212">
                  <c:v>5/24/2023</c:v>
                </c:pt>
                <c:pt idx="213">
                  <c:v>5/25/2023</c:v>
                </c:pt>
                <c:pt idx="214">
                  <c:v>5/26/2023</c:v>
                </c:pt>
                <c:pt idx="215">
                  <c:v>5/29/2023</c:v>
                </c:pt>
                <c:pt idx="216">
                  <c:v>5/30/2023</c:v>
                </c:pt>
                <c:pt idx="217">
                  <c:v>5/31/2023</c:v>
                </c:pt>
                <c:pt idx="218">
                  <c:v>6/1/2023</c:v>
                </c:pt>
                <c:pt idx="219">
                  <c:v>6/2/2023</c:v>
                </c:pt>
                <c:pt idx="220">
                  <c:v>6/5/2023</c:v>
                </c:pt>
                <c:pt idx="221">
                  <c:v>6/6/2023</c:v>
                </c:pt>
                <c:pt idx="222">
                  <c:v>6/7/2023</c:v>
                </c:pt>
                <c:pt idx="223">
                  <c:v>6/8/2023</c:v>
                </c:pt>
                <c:pt idx="224">
                  <c:v>6/9/2023</c:v>
                </c:pt>
                <c:pt idx="225">
                  <c:v>6/12/2023</c:v>
                </c:pt>
                <c:pt idx="226">
                  <c:v>6/14/2023</c:v>
                </c:pt>
                <c:pt idx="227">
                  <c:v>6/15/2023</c:v>
                </c:pt>
                <c:pt idx="228">
                  <c:v>6/16/2023</c:v>
                </c:pt>
                <c:pt idx="229">
                  <c:v>6/19/2023</c:v>
                </c:pt>
                <c:pt idx="230">
                  <c:v>6/20/2023</c:v>
                </c:pt>
                <c:pt idx="231">
                  <c:v>6/21/2023</c:v>
                </c:pt>
                <c:pt idx="232">
                  <c:v>6/22/2023</c:v>
                </c:pt>
                <c:pt idx="233">
                  <c:v>6/23/2023</c:v>
                </c:pt>
                <c:pt idx="234">
                  <c:v>6/26/2023</c:v>
                </c:pt>
                <c:pt idx="235">
                  <c:v>6/27/2023</c:v>
                </c:pt>
                <c:pt idx="236">
                  <c:v>6/28/2023</c:v>
                </c:pt>
                <c:pt idx="237">
                  <c:v>6/29/2023</c:v>
                </c:pt>
                <c:pt idx="238">
                  <c:v>6/30/2023</c:v>
                </c:pt>
                <c:pt idx="239">
                  <c:v>7/4/2023</c:v>
                </c:pt>
                <c:pt idx="240">
                  <c:v>7/5/2023</c:v>
                </c:pt>
                <c:pt idx="241">
                  <c:v>7/6/2023</c:v>
                </c:pt>
                <c:pt idx="242">
                  <c:v>7/7/2023</c:v>
                </c:pt>
                <c:pt idx="243">
                  <c:v>7/10/2023</c:v>
                </c:pt>
                <c:pt idx="244">
                  <c:v>7/11/2023</c:v>
                </c:pt>
                <c:pt idx="245">
                  <c:v>7/12/2023</c:v>
                </c:pt>
                <c:pt idx="246">
                  <c:v>7/13/2023</c:v>
                </c:pt>
                <c:pt idx="247">
                  <c:v>7/14/2023</c:v>
                </c:pt>
                <c:pt idx="248">
                  <c:v>7/17/2023</c:v>
                </c:pt>
                <c:pt idx="249">
                  <c:v>7/21/2023</c:v>
                </c:pt>
              </c:strCache>
            </c:strRef>
          </c:cat>
          <c:val>
            <c:numRef>
              <c:f>'WH Occu. trend Analysis'!$O$600:$O$850</c:f>
              <c:numCache>
                <c:formatCode>General</c:formatCode>
                <c:ptCount val="250"/>
                <c:pt idx="0">
                  <c:v>17714.587950000008</c:v>
                </c:pt>
                <c:pt idx="1">
                  <c:v>17489.783350000002</c:v>
                </c:pt>
                <c:pt idx="2">
                  <c:v>18075.940549999999</c:v>
                </c:pt>
                <c:pt idx="3">
                  <c:v>18032.030549999989</c:v>
                </c:pt>
                <c:pt idx="4">
                  <c:v>17424.343349999988</c:v>
                </c:pt>
                <c:pt idx="5">
                  <c:v>18032.030549999989</c:v>
                </c:pt>
                <c:pt idx="6">
                  <c:v>16697.927449999985</c:v>
                </c:pt>
                <c:pt idx="7">
                  <c:v>16241.971649999989</c:v>
                </c:pt>
                <c:pt idx="8">
                  <c:v>17201.614549999984</c:v>
                </c:pt>
                <c:pt idx="9">
                  <c:v>16106.787549999994</c:v>
                </c:pt>
                <c:pt idx="10">
                  <c:v>15872.608549999992</c:v>
                </c:pt>
                <c:pt idx="11">
                  <c:v>16047.048099999998</c:v>
                </c:pt>
                <c:pt idx="12">
                  <c:v>15798.015599999992</c:v>
                </c:pt>
                <c:pt idx="13">
                  <c:v>15734.979899999989</c:v>
                </c:pt>
                <c:pt idx="14">
                  <c:v>15435.077400000002</c:v>
                </c:pt>
                <c:pt idx="15">
                  <c:v>15334.059599999999</c:v>
                </c:pt>
                <c:pt idx="16">
                  <c:v>15426.221299999999</c:v>
                </c:pt>
                <c:pt idx="17">
                  <c:v>15302.587249999991</c:v>
                </c:pt>
                <c:pt idx="18">
                  <c:v>15375.083499999993</c:v>
                </c:pt>
                <c:pt idx="19">
                  <c:v>15572.845900000002</c:v>
                </c:pt>
                <c:pt idx="20">
                  <c:v>15226.638899999996</c:v>
                </c:pt>
                <c:pt idx="21">
                  <c:v>15487.296049999988</c:v>
                </c:pt>
                <c:pt idx="22">
                  <c:v>14998.620749999991</c:v>
                </c:pt>
                <c:pt idx="23">
                  <c:v>14810.987250000004</c:v>
                </c:pt>
                <c:pt idx="24">
                  <c:v>14177.244050000005</c:v>
                </c:pt>
                <c:pt idx="25">
                  <c:v>14245.983150000009</c:v>
                </c:pt>
                <c:pt idx="26">
                  <c:v>14412.517000000005</c:v>
                </c:pt>
                <c:pt idx="27">
                  <c:v>14255.263400000005</c:v>
                </c:pt>
                <c:pt idx="28">
                  <c:v>14382.347900000002</c:v>
                </c:pt>
                <c:pt idx="29">
                  <c:v>14252.435500000001</c:v>
                </c:pt>
                <c:pt idx="30">
                  <c:v>14555.194199999998</c:v>
                </c:pt>
                <c:pt idx="31">
                  <c:v>14660.986100000007</c:v>
                </c:pt>
                <c:pt idx="32">
                  <c:v>13603.230600000001</c:v>
                </c:pt>
                <c:pt idx="33">
                  <c:v>13725.270500000002</c:v>
                </c:pt>
                <c:pt idx="34">
                  <c:v>13639.087500000001</c:v>
                </c:pt>
                <c:pt idx="35">
                  <c:v>13679.052100000006</c:v>
                </c:pt>
                <c:pt idx="36">
                  <c:v>13708</c:v>
                </c:pt>
                <c:pt idx="37">
                  <c:v>13477.094200000007</c:v>
                </c:pt>
                <c:pt idx="38">
                  <c:v>13524.797700000003</c:v>
                </c:pt>
                <c:pt idx="39">
                  <c:v>13593.508300000005</c:v>
                </c:pt>
                <c:pt idx="40">
                  <c:v>13660.574900000003</c:v>
                </c:pt>
                <c:pt idx="41">
                  <c:v>14071</c:v>
                </c:pt>
                <c:pt idx="42">
                  <c:v>14293.175799999997</c:v>
                </c:pt>
                <c:pt idx="43">
                  <c:v>14363.189200000001</c:v>
                </c:pt>
                <c:pt idx="44">
                  <c:v>14388.751999999997</c:v>
                </c:pt>
                <c:pt idx="45">
                  <c:v>14619.317899999998</c:v>
                </c:pt>
                <c:pt idx="46">
                  <c:v>14766</c:v>
                </c:pt>
                <c:pt idx="47">
                  <c:v>15055.165800000002</c:v>
                </c:pt>
                <c:pt idx="48">
                  <c:v>15081.017100000001</c:v>
                </c:pt>
                <c:pt idx="49">
                  <c:v>15111.514800000003</c:v>
                </c:pt>
                <c:pt idx="50">
                  <c:v>14457.796599999998</c:v>
                </c:pt>
                <c:pt idx="51">
                  <c:v>14570.085600000002</c:v>
                </c:pt>
                <c:pt idx="52">
                  <c:v>14751.837500000001</c:v>
                </c:pt>
                <c:pt idx="53">
                  <c:v>14935.051700000002</c:v>
                </c:pt>
                <c:pt idx="54">
                  <c:v>15452</c:v>
                </c:pt>
                <c:pt idx="55">
                  <c:v>15181.826400000005</c:v>
                </c:pt>
                <c:pt idx="56">
                  <c:v>16043</c:v>
                </c:pt>
                <c:pt idx="57">
                  <c:v>16308</c:v>
                </c:pt>
                <c:pt idx="58">
                  <c:v>16543</c:v>
                </c:pt>
                <c:pt idx="59">
                  <c:v>16791</c:v>
                </c:pt>
                <c:pt idx="60">
                  <c:v>15925</c:v>
                </c:pt>
                <c:pt idx="61">
                  <c:v>15542</c:v>
                </c:pt>
                <c:pt idx="62">
                  <c:v>15309</c:v>
                </c:pt>
                <c:pt idx="63">
                  <c:v>14800</c:v>
                </c:pt>
                <c:pt idx="64">
                  <c:v>14746</c:v>
                </c:pt>
                <c:pt idx="65">
                  <c:v>14252</c:v>
                </c:pt>
                <c:pt idx="66">
                  <c:v>14195</c:v>
                </c:pt>
                <c:pt idx="67">
                  <c:v>14296</c:v>
                </c:pt>
                <c:pt idx="68">
                  <c:v>14235</c:v>
                </c:pt>
                <c:pt idx="69">
                  <c:v>14425</c:v>
                </c:pt>
                <c:pt idx="70">
                  <c:v>14084</c:v>
                </c:pt>
                <c:pt idx="71">
                  <c:v>14160</c:v>
                </c:pt>
                <c:pt idx="72">
                  <c:v>13959</c:v>
                </c:pt>
                <c:pt idx="73">
                  <c:v>13790</c:v>
                </c:pt>
                <c:pt idx="74">
                  <c:v>13987</c:v>
                </c:pt>
                <c:pt idx="75">
                  <c:v>13694</c:v>
                </c:pt>
                <c:pt idx="76">
                  <c:v>13723</c:v>
                </c:pt>
                <c:pt idx="77">
                  <c:v>13755</c:v>
                </c:pt>
                <c:pt idx="78">
                  <c:v>13778</c:v>
                </c:pt>
                <c:pt idx="79">
                  <c:v>13796</c:v>
                </c:pt>
                <c:pt idx="80">
                  <c:v>13016</c:v>
                </c:pt>
                <c:pt idx="81">
                  <c:v>12341</c:v>
                </c:pt>
                <c:pt idx="82">
                  <c:v>12475</c:v>
                </c:pt>
                <c:pt idx="83">
                  <c:v>12230</c:v>
                </c:pt>
                <c:pt idx="84">
                  <c:v>12306</c:v>
                </c:pt>
                <c:pt idx="85">
                  <c:v>11943</c:v>
                </c:pt>
                <c:pt idx="86">
                  <c:v>11765</c:v>
                </c:pt>
                <c:pt idx="87">
                  <c:v>11967</c:v>
                </c:pt>
                <c:pt idx="88">
                  <c:v>12450</c:v>
                </c:pt>
                <c:pt idx="89">
                  <c:v>12183</c:v>
                </c:pt>
                <c:pt idx="90">
                  <c:v>12133</c:v>
                </c:pt>
                <c:pt idx="91">
                  <c:v>12155</c:v>
                </c:pt>
                <c:pt idx="92">
                  <c:v>11711</c:v>
                </c:pt>
                <c:pt idx="93">
                  <c:v>11813</c:v>
                </c:pt>
                <c:pt idx="94">
                  <c:v>12145</c:v>
                </c:pt>
                <c:pt idx="95">
                  <c:v>12194</c:v>
                </c:pt>
                <c:pt idx="96">
                  <c:v>12334</c:v>
                </c:pt>
                <c:pt idx="97">
                  <c:v>11812</c:v>
                </c:pt>
                <c:pt idx="98">
                  <c:v>11558</c:v>
                </c:pt>
                <c:pt idx="99">
                  <c:v>11771</c:v>
                </c:pt>
                <c:pt idx="100">
                  <c:v>11808</c:v>
                </c:pt>
                <c:pt idx="101">
                  <c:v>11584</c:v>
                </c:pt>
                <c:pt idx="102">
                  <c:v>10987</c:v>
                </c:pt>
                <c:pt idx="103">
                  <c:v>11099</c:v>
                </c:pt>
                <c:pt idx="104">
                  <c:v>11012</c:v>
                </c:pt>
                <c:pt idx="105">
                  <c:v>10990</c:v>
                </c:pt>
                <c:pt idx="106">
                  <c:v>10898</c:v>
                </c:pt>
                <c:pt idx="107">
                  <c:v>10783</c:v>
                </c:pt>
                <c:pt idx="108">
                  <c:v>10401</c:v>
                </c:pt>
                <c:pt idx="109">
                  <c:v>10302</c:v>
                </c:pt>
                <c:pt idx="110">
                  <c:v>10151</c:v>
                </c:pt>
                <c:pt idx="111">
                  <c:v>10110</c:v>
                </c:pt>
                <c:pt idx="112">
                  <c:v>10077</c:v>
                </c:pt>
                <c:pt idx="113">
                  <c:v>9509</c:v>
                </c:pt>
                <c:pt idx="114">
                  <c:v>9080</c:v>
                </c:pt>
                <c:pt idx="115">
                  <c:v>8706</c:v>
                </c:pt>
                <c:pt idx="116">
                  <c:v>8610</c:v>
                </c:pt>
                <c:pt idx="117">
                  <c:v>8942</c:v>
                </c:pt>
                <c:pt idx="118">
                  <c:v>9533</c:v>
                </c:pt>
                <c:pt idx="119">
                  <c:v>9718</c:v>
                </c:pt>
                <c:pt idx="120">
                  <c:v>9718</c:v>
                </c:pt>
                <c:pt idx="121">
                  <c:v>9911</c:v>
                </c:pt>
                <c:pt idx="122">
                  <c:v>9872</c:v>
                </c:pt>
                <c:pt idx="123">
                  <c:v>9496</c:v>
                </c:pt>
                <c:pt idx="124">
                  <c:v>9586</c:v>
                </c:pt>
                <c:pt idx="125">
                  <c:v>9842</c:v>
                </c:pt>
                <c:pt idx="126">
                  <c:v>9917</c:v>
                </c:pt>
                <c:pt idx="127">
                  <c:v>10166</c:v>
                </c:pt>
                <c:pt idx="128">
                  <c:v>10141</c:v>
                </c:pt>
                <c:pt idx="129">
                  <c:v>10175</c:v>
                </c:pt>
                <c:pt idx="130">
                  <c:v>9857</c:v>
                </c:pt>
                <c:pt idx="131">
                  <c:v>10161</c:v>
                </c:pt>
                <c:pt idx="132">
                  <c:v>10387</c:v>
                </c:pt>
                <c:pt idx="133">
                  <c:v>9385.8566000000028</c:v>
                </c:pt>
                <c:pt idx="134">
                  <c:v>9732.8757000000005</c:v>
                </c:pt>
                <c:pt idx="135">
                  <c:v>9641.5955999999987</c:v>
                </c:pt>
                <c:pt idx="136">
                  <c:v>9524.6154000000024</c:v>
                </c:pt>
                <c:pt idx="137">
                  <c:v>9759.1138999999985</c:v>
                </c:pt>
                <c:pt idx="138">
                  <c:v>9284.0187000000005</c:v>
                </c:pt>
                <c:pt idx="139">
                  <c:v>9193.4285999999975</c:v>
                </c:pt>
                <c:pt idx="140">
                  <c:v>9357.8394999999982</c:v>
                </c:pt>
                <c:pt idx="141">
                  <c:v>9429.3827999999994</c:v>
                </c:pt>
                <c:pt idx="142">
                  <c:v>9404.0398999999998</c:v>
                </c:pt>
                <c:pt idx="143">
                  <c:v>9272.0577000000012</c:v>
                </c:pt>
                <c:pt idx="144">
                  <c:v>9277.6173000000017</c:v>
                </c:pt>
                <c:pt idx="145">
                  <c:v>9531.9174999999977</c:v>
                </c:pt>
                <c:pt idx="146">
                  <c:v>9735.5318000000007</c:v>
                </c:pt>
                <c:pt idx="147">
                  <c:v>9867.3722000000016</c:v>
                </c:pt>
                <c:pt idx="148">
                  <c:v>9509.7607000000025</c:v>
                </c:pt>
                <c:pt idx="149">
                  <c:v>9604.0259000000005</c:v>
                </c:pt>
                <c:pt idx="150">
                  <c:v>9651.2631000000001</c:v>
                </c:pt>
                <c:pt idx="151">
                  <c:v>9515.9134999999987</c:v>
                </c:pt>
                <c:pt idx="152">
                  <c:v>9604.6658999999981</c:v>
                </c:pt>
                <c:pt idx="153">
                  <c:v>9577.6799000000028</c:v>
                </c:pt>
                <c:pt idx="154">
                  <c:v>9709.6698000000033</c:v>
                </c:pt>
                <c:pt idx="155">
                  <c:v>9837.8232000000025</c:v>
                </c:pt>
                <c:pt idx="156">
                  <c:v>9737.8243000000002</c:v>
                </c:pt>
                <c:pt idx="157">
                  <c:v>9769.0147000000015</c:v>
                </c:pt>
                <c:pt idx="158">
                  <c:v>9224.2665000000015</c:v>
                </c:pt>
                <c:pt idx="159">
                  <c:v>9293.7114000000001</c:v>
                </c:pt>
                <c:pt idx="160">
                  <c:v>9521.309500000003</c:v>
                </c:pt>
                <c:pt idx="161">
                  <c:v>10044.922799999998</c:v>
                </c:pt>
                <c:pt idx="162">
                  <c:v>10119.466899999999</c:v>
                </c:pt>
                <c:pt idx="163">
                  <c:v>9965.4011000000028</c:v>
                </c:pt>
                <c:pt idx="164">
                  <c:v>10031.633399999999</c:v>
                </c:pt>
                <c:pt idx="165">
                  <c:v>10080.408999999996</c:v>
                </c:pt>
                <c:pt idx="166">
                  <c:v>10198.810000000003</c:v>
                </c:pt>
                <c:pt idx="167">
                  <c:v>9692.2633999999998</c:v>
                </c:pt>
                <c:pt idx="168">
                  <c:v>9107.9066000000003</c:v>
                </c:pt>
                <c:pt idx="169">
                  <c:v>9079.7736999999961</c:v>
                </c:pt>
                <c:pt idx="170">
                  <c:v>8838.1919999999991</c:v>
                </c:pt>
                <c:pt idx="171">
                  <c:v>8804.3613999999998</c:v>
                </c:pt>
                <c:pt idx="172">
                  <c:v>8163.4295999999977</c:v>
                </c:pt>
                <c:pt idx="173">
                  <c:v>8140.7380000000003</c:v>
                </c:pt>
                <c:pt idx="174">
                  <c:v>8005.0807000000004</c:v>
                </c:pt>
                <c:pt idx="175">
                  <c:v>8147.2260000000006</c:v>
                </c:pt>
                <c:pt idx="176">
                  <c:v>8401.9766999999974</c:v>
                </c:pt>
                <c:pt idx="177">
                  <c:v>8209.2708999999995</c:v>
                </c:pt>
                <c:pt idx="178">
                  <c:v>8394.0383000000002</c:v>
                </c:pt>
                <c:pt idx="179">
                  <c:v>8292.9871999999996</c:v>
                </c:pt>
                <c:pt idx="180">
                  <c:v>8353.6795000000002</c:v>
                </c:pt>
                <c:pt idx="181">
                  <c:v>8500.8803000000007</c:v>
                </c:pt>
                <c:pt idx="182">
                  <c:v>8353.883600000001</c:v>
                </c:pt>
                <c:pt idx="183">
                  <c:v>8353.883600000001</c:v>
                </c:pt>
                <c:pt idx="184">
                  <c:v>8869.9628000000048</c:v>
                </c:pt>
                <c:pt idx="185">
                  <c:v>9003.1434999999965</c:v>
                </c:pt>
                <c:pt idx="186">
                  <c:v>8584.2172999999984</c:v>
                </c:pt>
                <c:pt idx="187">
                  <c:v>9298.1760999999988</c:v>
                </c:pt>
                <c:pt idx="188">
                  <c:v>9301.7802000000011</c:v>
                </c:pt>
                <c:pt idx="189">
                  <c:v>9433.7200999999986</c:v>
                </c:pt>
                <c:pt idx="190">
                  <c:v>9721.9777999999988</c:v>
                </c:pt>
                <c:pt idx="191">
                  <c:v>9986.1178</c:v>
                </c:pt>
                <c:pt idx="192">
                  <c:v>10097.686400000001</c:v>
                </c:pt>
                <c:pt idx="193">
                  <c:v>10198.591499999997</c:v>
                </c:pt>
                <c:pt idx="194">
                  <c:v>10198.591499999997</c:v>
                </c:pt>
                <c:pt idx="195">
                  <c:v>9923.7808999999979</c:v>
                </c:pt>
                <c:pt idx="196">
                  <c:v>9831.5429000000004</c:v>
                </c:pt>
                <c:pt idx="197">
                  <c:v>9359.0434999999998</c:v>
                </c:pt>
                <c:pt idx="198">
                  <c:v>9367.124600000001</c:v>
                </c:pt>
                <c:pt idx="199">
                  <c:v>9400.6466</c:v>
                </c:pt>
                <c:pt idx="200">
                  <c:v>9090.1086000000014</c:v>
                </c:pt>
                <c:pt idx="201">
                  <c:v>9179.9661000000015</c:v>
                </c:pt>
                <c:pt idx="202">
                  <c:v>9372.5158999999967</c:v>
                </c:pt>
                <c:pt idx="203">
                  <c:v>9643.2371000000021</c:v>
                </c:pt>
                <c:pt idx="204">
                  <c:v>9670.7586000000028</c:v>
                </c:pt>
                <c:pt idx="205">
                  <c:v>9794.0877999999993</c:v>
                </c:pt>
                <c:pt idx="206">
                  <c:v>9909.7851999999984</c:v>
                </c:pt>
                <c:pt idx="207">
                  <c:v>10361.989999999998</c:v>
                </c:pt>
                <c:pt idx="208">
                  <c:v>10536.749500000002</c:v>
                </c:pt>
                <c:pt idx="209">
                  <c:v>10786.9085</c:v>
                </c:pt>
                <c:pt idx="210">
                  <c:v>10233.215400000001</c:v>
                </c:pt>
                <c:pt idx="211">
                  <c:v>10226.328799999997</c:v>
                </c:pt>
                <c:pt idx="212">
                  <c:v>10390.059199999996</c:v>
                </c:pt>
                <c:pt idx="213">
                  <c:v>10342.199500000002</c:v>
                </c:pt>
                <c:pt idx="214">
                  <c:v>10362.195799999998</c:v>
                </c:pt>
                <c:pt idx="215">
                  <c:v>9900.7883000000002</c:v>
                </c:pt>
                <c:pt idx="216">
                  <c:v>10015.081499999997</c:v>
                </c:pt>
                <c:pt idx="217">
                  <c:v>10235.396499999999</c:v>
                </c:pt>
                <c:pt idx="218">
                  <c:v>10109.493999999999</c:v>
                </c:pt>
                <c:pt idx="219">
                  <c:v>10203.001200000001</c:v>
                </c:pt>
                <c:pt idx="220">
                  <c:v>10203.001200000001</c:v>
                </c:pt>
                <c:pt idx="221">
                  <c:v>10072.040099999998</c:v>
                </c:pt>
                <c:pt idx="222">
                  <c:v>10541.817899999998</c:v>
                </c:pt>
                <c:pt idx="223">
                  <c:v>10640.995499999999</c:v>
                </c:pt>
                <c:pt idx="224">
                  <c:v>11256.960700000003</c:v>
                </c:pt>
                <c:pt idx="225">
                  <c:v>10641.846600000004</c:v>
                </c:pt>
                <c:pt idx="226">
                  <c:v>10559.5926</c:v>
                </c:pt>
                <c:pt idx="227">
                  <c:v>10356.783899999999</c:v>
                </c:pt>
                <c:pt idx="228">
                  <c:v>10376.0442</c:v>
                </c:pt>
                <c:pt idx="229">
                  <c:v>9625.7346999999991</c:v>
                </c:pt>
                <c:pt idx="230">
                  <c:v>9845.1732999999986</c:v>
                </c:pt>
                <c:pt idx="231">
                  <c:v>10089.220799999996</c:v>
                </c:pt>
                <c:pt idx="232">
                  <c:v>10152.1718</c:v>
                </c:pt>
                <c:pt idx="233">
                  <c:v>10571.250100000003</c:v>
                </c:pt>
                <c:pt idx="234">
                  <c:v>10202.344400000004</c:v>
                </c:pt>
                <c:pt idx="235">
                  <c:v>9550.8622000000014</c:v>
                </c:pt>
                <c:pt idx="236">
                  <c:v>9809.8439999999991</c:v>
                </c:pt>
                <c:pt idx="237">
                  <c:v>9575.1305000000029</c:v>
                </c:pt>
                <c:pt idx="238">
                  <c:v>9664.0006999999987</c:v>
                </c:pt>
                <c:pt idx="239">
                  <c:v>9206.8131999999987</c:v>
                </c:pt>
                <c:pt idx="240">
                  <c:v>9347.7569000000021</c:v>
                </c:pt>
                <c:pt idx="241">
                  <c:v>9413.5653999999995</c:v>
                </c:pt>
                <c:pt idx="242">
                  <c:v>9557.8596000000034</c:v>
                </c:pt>
                <c:pt idx="243">
                  <c:v>9296.2079999999987</c:v>
                </c:pt>
                <c:pt idx="244">
                  <c:v>9412.108400000001</c:v>
                </c:pt>
                <c:pt idx="245">
                  <c:v>9661.4138999999996</c:v>
                </c:pt>
                <c:pt idx="246">
                  <c:v>9678.5208999999977</c:v>
                </c:pt>
                <c:pt idx="247">
                  <c:v>9547.1323999999986</c:v>
                </c:pt>
                <c:pt idx="248">
                  <c:v>9339.1203999999998</c:v>
                </c:pt>
                <c:pt idx="249">
                  <c:v>8773.6718999999994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14-4314-8DE4-6EEF551940E5}"/>
            </c:ext>
          </c:extLst>
        </c:ser>
        <c:ser>
          <c:idx val="1"/>
          <c:order val="1"/>
          <c:tx>
            <c:strRef>
              <c:f>'WH Occu. trend Analysis'!$P$599</c:f>
              <c:strCache>
                <c:ptCount val="1"/>
                <c:pt idx="0">
                  <c:v>Kandana DC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'WH Occu. trend Analysis'!$N$600:$N$850</c:f>
              <c:strCache>
                <c:ptCount val="250"/>
                <c:pt idx="0">
                  <c:v>7/4/2022</c:v>
                </c:pt>
                <c:pt idx="1">
                  <c:v>7/5/2022</c:v>
                </c:pt>
                <c:pt idx="2">
                  <c:v>7/6/2022</c:v>
                </c:pt>
                <c:pt idx="3">
                  <c:v>7/7/2022</c:v>
                </c:pt>
                <c:pt idx="4">
                  <c:v>7/8/2022</c:v>
                </c:pt>
                <c:pt idx="5">
                  <c:v>7/11/2022</c:v>
                </c:pt>
                <c:pt idx="6">
                  <c:v>7/12/2022</c:v>
                </c:pt>
                <c:pt idx="7">
                  <c:v>7/14/2022</c:v>
                </c:pt>
                <c:pt idx="8">
                  <c:v>7/15/2022</c:v>
                </c:pt>
                <c:pt idx="9">
                  <c:v>7/18/2022</c:v>
                </c:pt>
                <c:pt idx="10">
                  <c:v>7/19/2022</c:v>
                </c:pt>
                <c:pt idx="11">
                  <c:v>7/20/2022</c:v>
                </c:pt>
                <c:pt idx="12">
                  <c:v>7/21/2022</c:v>
                </c:pt>
                <c:pt idx="13">
                  <c:v>7/22/2022</c:v>
                </c:pt>
                <c:pt idx="14">
                  <c:v>7/25/2022</c:v>
                </c:pt>
                <c:pt idx="15">
                  <c:v>7/26/2022</c:v>
                </c:pt>
                <c:pt idx="16">
                  <c:v>7/27/2022</c:v>
                </c:pt>
                <c:pt idx="17">
                  <c:v>7/28/2022</c:v>
                </c:pt>
                <c:pt idx="18">
                  <c:v>7/29/2022</c:v>
                </c:pt>
                <c:pt idx="19">
                  <c:v>8/1/2022</c:v>
                </c:pt>
                <c:pt idx="20">
                  <c:v>8/2/2022</c:v>
                </c:pt>
                <c:pt idx="21">
                  <c:v>8/3/2022</c:v>
                </c:pt>
                <c:pt idx="22">
                  <c:v>8/4/2022</c:v>
                </c:pt>
                <c:pt idx="23">
                  <c:v>8/5/2022</c:v>
                </c:pt>
                <c:pt idx="24">
                  <c:v>8/8/2022</c:v>
                </c:pt>
                <c:pt idx="25">
                  <c:v>8/9/2022</c:v>
                </c:pt>
                <c:pt idx="26">
                  <c:v>8/10/2022</c:v>
                </c:pt>
                <c:pt idx="27">
                  <c:v>8/15/2022</c:v>
                </c:pt>
                <c:pt idx="28">
                  <c:v>8/16/2022</c:v>
                </c:pt>
                <c:pt idx="29">
                  <c:v>8/17/2022</c:v>
                </c:pt>
                <c:pt idx="30">
                  <c:v>8/18/2022</c:v>
                </c:pt>
                <c:pt idx="31">
                  <c:v>8/19/2022</c:v>
                </c:pt>
                <c:pt idx="32">
                  <c:v>8/22/2022</c:v>
                </c:pt>
                <c:pt idx="33">
                  <c:v>8/23/2022</c:v>
                </c:pt>
                <c:pt idx="34">
                  <c:v>8/24/2022</c:v>
                </c:pt>
                <c:pt idx="35">
                  <c:v>8/25/2022</c:v>
                </c:pt>
                <c:pt idx="36">
                  <c:v>8/26/2022</c:v>
                </c:pt>
                <c:pt idx="37">
                  <c:v>8/29/2022</c:v>
                </c:pt>
                <c:pt idx="38">
                  <c:v>8/30/2022</c:v>
                </c:pt>
                <c:pt idx="39">
                  <c:v>8/31/2022</c:v>
                </c:pt>
                <c:pt idx="40">
                  <c:v>9/1/2022</c:v>
                </c:pt>
                <c:pt idx="41">
                  <c:v>9/2/2022</c:v>
                </c:pt>
                <c:pt idx="42">
                  <c:v>9/5/2022</c:v>
                </c:pt>
                <c:pt idx="43">
                  <c:v>9/6/2022</c:v>
                </c:pt>
                <c:pt idx="44">
                  <c:v>9/7/2022</c:v>
                </c:pt>
                <c:pt idx="45">
                  <c:v>9/9/2022</c:v>
                </c:pt>
                <c:pt idx="46">
                  <c:v>9/13/2022</c:v>
                </c:pt>
                <c:pt idx="47">
                  <c:v>9/14/2022</c:v>
                </c:pt>
                <c:pt idx="48">
                  <c:v>9/15/2022</c:v>
                </c:pt>
                <c:pt idx="49">
                  <c:v>9/16/2022</c:v>
                </c:pt>
                <c:pt idx="50">
                  <c:v>9/19/2022</c:v>
                </c:pt>
                <c:pt idx="51">
                  <c:v>9/20/2022</c:v>
                </c:pt>
                <c:pt idx="52">
                  <c:v>9/21/2022</c:v>
                </c:pt>
                <c:pt idx="53">
                  <c:v>9/22/2022</c:v>
                </c:pt>
                <c:pt idx="54">
                  <c:v>9/23/2022</c:v>
                </c:pt>
                <c:pt idx="55">
                  <c:v>9/26/2022</c:v>
                </c:pt>
                <c:pt idx="56">
                  <c:v>9/27/2022</c:v>
                </c:pt>
                <c:pt idx="57">
                  <c:v>9/28/2022</c:v>
                </c:pt>
                <c:pt idx="58">
                  <c:v>9/29/2022</c:v>
                </c:pt>
                <c:pt idx="59">
                  <c:v>9/30/2022</c:v>
                </c:pt>
                <c:pt idx="60">
                  <c:v>10/3/2022</c:v>
                </c:pt>
                <c:pt idx="61">
                  <c:v>10/4/2022</c:v>
                </c:pt>
                <c:pt idx="62">
                  <c:v>10/5/2022</c:v>
                </c:pt>
                <c:pt idx="63">
                  <c:v>10/6/2022</c:v>
                </c:pt>
                <c:pt idx="64">
                  <c:v>10/7/2022</c:v>
                </c:pt>
                <c:pt idx="65">
                  <c:v>10/10/2022</c:v>
                </c:pt>
                <c:pt idx="66">
                  <c:v>10/11/2022</c:v>
                </c:pt>
                <c:pt idx="67">
                  <c:v>10/12/2022</c:v>
                </c:pt>
                <c:pt idx="68">
                  <c:v>10/13/2022</c:v>
                </c:pt>
                <c:pt idx="69">
                  <c:v>10/14/2022</c:v>
                </c:pt>
                <c:pt idx="70">
                  <c:v>10/17/2022</c:v>
                </c:pt>
                <c:pt idx="71">
                  <c:v>10/18/2022</c:v>
                </c:pt>
                <c:pt idx="72">
                  <c:v>10/19/2022</c:v>
                </c:pt>
                <c:pt idx="73">
                  <c:v>10/20/2022</c:v>
                </c:pt>
                <c:pt idx="74">
                  <c:v>10/21/2022</c:v>
                </c:pt>
                <c:pt idx="75">
                  <c:v>10/24/2022</c:v>
                </c:pt>
                <c:pt idx="76">
                  <c:v>10/25/2022</c:v>
                </c:pt>
                <c:pt idx="77">
                  <c:v>10/26/2022</c:v>
                </c:pt>
                <c:pt idx="78">
                  <c:v>10/27/2022</c:v>
                </c:pt>
                <c:pt idx="79">
                  <c:v>10/28/2022</c:v>
                </c:pt>
                <c:pt idx="80">
                  <c:v>10/31/2022</c:v>
                </c:pt>
                <c:pt idx="81">
                  <c:v>11/1/2022</c:v>
                </c:pt>
                <c:pt idx="82">
                  <c:v>11/2/2022</c:v>
                </c:pt>
                <c:pt idx="83">
                  <c:v>11/3/2022</c:v>
                </c:pt>
                <c:pt idx="84">
                  <c:v>11/4/2022</c:v>
                </c:pt>
                <c:pt idx="85">
                  <c:v>11/8/2022</c:v>
                </c:pt>
                <c:pt idx="86">
                  <c:v>11/9/2022</c:v>
                </c:pt>
                <c:pt idx="87">
                  <c:v>11/10/2022</c:v>
                </c:pt>
                <c:pt idx="88">
                  <c:v>11/11/2022</c:v>
                </c:pt>
                <c:pt idx="89">
                  <c:v>11/15/2022</c:v>
                </c:pt>
                <c:pt idx="90">
                  <c:v>11/16/2022</c:v>
                </c:pt>
                <c:pt idx="91">
                  <c:v>11/17/2022</c:v>
                </c:pt>
                <c:pt idx="92">
                  <c:v>11/18/2022</c:v>
                </c:pt>
                <c:pt idx="93">
                  <c:v>11/21/2022</c:v>
                </c:pt>
                <c:pt idx="94">
                  <c:v>11/22/2022</c:v>
                </c:pt>
                <c:pt idx="95">
                  <c:v>11/23/2022</c:v>
                </c:pt>
                <c:pt idx="96">
                  <c:v>11/24/2022</c:v>
                </c:pt>
                <c:pt idx="97">
                  <c:v>11/25/2022</c:v>
                </c:pt>
                <c:pt idx="98">
                  <c:v>11/28/2022</c:v>
                </c:pt>
                <c:pt idx="99">
                  <c:v>11/30/2022</c:v>
                </c:pt>
                <c:pt idx="100">
                  <c:v>12/1/2022</c:v>
                </c:pt>
                <c:pt idx="101">
                  <c:v>12/2/2022</c:v>
                </c:pt>
                <c:pt idx="102">
                  <c:v>12/5/2022</c:v>
                </c:pt>
                <c:pt idx="103">
                  <c:v>12/6/2022</c:v>
                </c:pt>
                <c:pt idx="104">
                  <c:v>12/8/2022</c:v>
                </c:pt>
                <c:pt idx="105">
                  <c:v>12/9/2022</c:v>
                </c:pt>
                <c:pt idx="106">
                  <c:v>12/12/2022</c:v>
                </c:pt>
                <c:pt idx="107">
                  <c:v>12/13/2022</c:v>
                </c:pt>
                <c:pt idx="108">
                  <c:v>12/14/2022</c:v>
                </c:pt>
                <c:pt idx="109">
                  <c:v>12/15/2022</c:v>
                </c:pt>
                <c:pt idx="110">
                  <c:v>12/16/2022</c:v>
                </c:pt>
                <c:pt idx="111">
                  <c:v>12/19/2022</c:v>
                </c:pt>
                <c:pt idx="112">
                  <c:v>12/20/2022</c:v>
                </c:pt>
                <c:pt idx="113">
                  <c:v>12/22/2022</c:v>
                </c:pt>
                <c:pt idx="114">
                  <c:v>12/23/2022</c:v>
                </c:pt>
                <c:pt idx="115">
                  <c:v>12/27/2022</c:v>
                </c:pt>
                <c:pt idx="116">
                  <c:v>12/28/2022</c:v>
                </c:pt>
                <c:pt idx="117">
                  <c:v>12/29/2022</c:v>
                </c:pt>
                <c:pt idx="118">
                  <c:v>12/30/2022</c:v>
                </c:pt>
                <c:pt idx="119">
                  <c:v>1/2/2023</c:v>
                </c:pt>
                <c:pt idx="120">
                  <c:v>1/3/2023</c:v>
                </c:pt>
                <c:pt idx="121">
                  <c:v>1/4/2023</c:v>
                </c:pt>
                <c:pt idx="122">
                  <c:v>1/5/2023</c:v>
                </c:pt>
                <c:pt idx="123">
                  <c:v>1/9/2023</c:v>
                </c:pt>
                <c:pt idx="124">
                  <c:v>1/10/2023</c:v>
                </c:pt>
                <c:pt idx="125">
                  <c:v>1/11/2023</c:v>
                </c:pt>
                <c:pt idx="126">
                  <c:v>1/12/2023</c:v>
                </c:pt>
                <c:pt idx="127">
                  <c:v>1/13/2023</c:v>
                </c:pt>
                <c:pt idx="128">
                  <c:v>1/16/2023</c:v>
                </c:pt>
                <c:pt idx="129">
                  <c:v>1/17/2023</c:v>
                </c:pt>
                <c:pt idx="130">
                  <c:v>1/18/2023</c:v>
                </c:pt>
                <c:pt idx="131">
                  <c:v>1/19/2023</c:v>
                </c:pt>
                <c:pt idx="132">
                  <c:v>1/20/2023</c:v>
                </c:pt>
                <c:pt idx="133">
                  <c:v>1/23/2023</c:v>
                </c:pt>
                <c:pt idx="134">
                  <c:v>1/24/2023</c:v>
                </c:pt>
                <c:pt idx="135">
                  <c:v>1/25/2023</c:v>
                </c:pt>
                <c:pt idx="136">
                  <c:v>1/26/2023</c:v>
                </c:pt>
                <c:pt idx="137">
                  <c:v>1/27/2023</c:v>
                </c:pt>
                <c:pt idx="138">
                  <c:v>1/30/2023</c:v>
                </c:pt>
                <c:pt idx="139">
                  <c:v>1/31/2023</c:v>
                </c:pt>
                <c:pt idx="140">
                  <c:v>2/1/2023</c:v>
                </c:pt>
                <c:pt idx="141">
                  <c:v>2/2/2023</c:v>
                </c:pt>
                <c:pt idx="142">
                  <c:v>2/3/2023</c:v>
                </c:pt>
                <c:pt idx="143">
                  <c:v>2/6/2023</c:v>
                </c:pt>
                <c:pt idx="144">
                  <c:v>2/7/2023</c:v>
                </c:pt>
                <c:pt idx="145">
                  <c:v>2/8/2023</c:v>
                </c:pt>
                <c:pt idx="146">
                  <c:v>2/9/2023</c:v>
                </c:pt>
                <c:pt idx="147">
                  <c:v>2/10/2023</c:v>
                </c:pt>
                <c:pt idx="148">
                  <c:v>2/13/2023</c:v>
                </c:pt>
                <c:pt idx="149">
                  <c:v>2/14/2023</c:v>
                </c:pt>
                <c:pt idx="150">
                  <c:v>2/15/2023</c:v>
                </c:pt>
                <c:pt idx="151">
                  <c:v>2/16/2023</c:v>
                </c:pt>
                <c:pt idx="152">
                  <c:v>2/17/2023</c:v>
                </c:pt>
                <c:pt idx="153">
                  <c:v>2/20/2023</c:v>
                </c:pt>
                <c:pt idx="154">
                  <c:v>2/21/2023</c:v>
                </c:pt>
                <c:pt idx="155">
                  <c:v>2/22/2023</c:v>
                </c:pt>
                <c:pt idx="156">
                  <c:v>2/23/2023</c:v>
                </c:pt>
                <c:pt idx="157">
                  <c:v>2/24/2023</c:v>
                </c:pt>
                <c:pt idx="158">
                  <c:v>2/27/2023</c:v>
                </c:pt>
                <c:pt idx="159">
                  <c:v>2/28/2023</c:v>
                </c:pt>
                <c:pt idx="160">
                  <c:v>3/1/2023</c:v>
                </c:pt>
                <c:pt idx="161">
                  <c:v>3/2/2023</c:v>
                </c:pt>
                <c:pt idx="162">
                  <c:v>3/3/2023</c:v>
                </c:pt>
                <c:pt idx="163">
                  <c:v>3/7/2023</c:v>
                </c:pt>
                <c:pt idx="164">
                  <c:v>3/8/2023</c:v>
                </c:pt>
                <c:pt idx="165">
                  <c:v>3/9/2023</c:v>
                </c:pt>
                <c:pt idx="166">
                  <c:v>3/10/2023</c:v>
                </c:pt>
                <c:pt idx="167">
                  <c:v>3/13/2023</c:v>
                </c:pt>
                <c:pt idx="168">
                  <c:v>3/14/2023</c:v>
                </c:pt>
                <c:pt idx="169">
                  <c:v>3/15/2023</c:v>
                </c:pt>
                <c:pt idx="170">
                  <c:v>3/16/2023</c:v>
                </c:pt>
                <c:pt idx="171">
                  <c:v>3/17/2023</c:v>
                </c:pt>
                <c:pt idx="172">
                  <c:v>3/20/2023</c:v>
                </c:pt>
                <c:pt idx="173">
                  <c:v>3/21/2023</c:v>
                </c:pt>
                <c:pt idx="174">
                  <c:v>3/22/2023</c:v>
                </c:pt>
                <c:pt idx="175">
                  <c:v>3/23/2023</c:v>
                </c:pt>
                <c:pt idx="176">
                  <c:v>3/24/2023</c:v>
                </c:pt>
                <c:pt idx="177">
                  <c:v>3/27/2023</c:v>
                </c:pt>
                <c:pt idx="178">
                  <c:v>3/28/2023</c:v>
                </c:pt>
                <c:pt idx="179">
                  <c:v>3/29/2023</c:v>
                </c:pt>
                <c:pt idx="180">
                  <c:v>3/30/2023</c:v>
                </c:pt>
                <c:pt idx="181">
                  <c:v>3/31/2023</c:v>
                </c:pt>
                <c:pt idx="182">
                  <c:v>4/3/2023</c:v>
                </c:pt>
                <c:pt idx="183">
                  <c:v>4/4/2023</c:v>
                </c:pt>
                <c:pt idx="184">
                  <c:v>4/6/2023</c:v>
                </c:pt>
                <c:pt idx="185">
                  <c:v>4/7/2023</c:v>
                </c:pt>
                <c:pt idx="186">
                  <c:v>4/10/2023</c:v>
                </c:pt>
                <c:pt idx="187">
                  <c:v>4/17/2023</c:v>
                </c:pt>
                <c:pt idx="188">
                  <c:v>4/18/2023</c:v>
                </c:pt>
                <c:pt idx="189">
                  <c:v>4/19/2023</c:v>
                </c:pt>
                <c:pt idx="190">
                  <c:v>4/20/2023</c:v>
                </c:pt>
                <c:pt idx="191">
                  <c:v>4/21/2023</c:v>
                </c:pt>
                <c:pt idx="192">
                  <c:v>4/24/2023</c:v>
                </c:pt>
                <c:pt idx="193">
                  <c:v>4/25/2023</c:v>
                </c:pt>
                <c:pt idx="194">
                  <c:v>4/26/2023</c:v>
                </c:pt>
                <c:pt idx="195">
                  <c:v>4/27/2023</c:v>
                </c:pt>
                <c:pt idx="196">
                  <c:v>4/28/2023</c:v>
                </c:pt>
                <c:pt idx="197">
                  <c:v>5/2/2023</c:v>
                </c:pt>
                <c:pt idx="198">
                  <c:v>5/3/2023</c:v>
                </c:pt>
                <c:pt idx="199">
                  <c:v>5/4/2023</c:v>
                </c:pt>
                <c:pt idx="200">
                  <c:v>5/8/2023</c:v>
                </c:pt>
                <c:pt idx="201">
                  <c:v>5/9/2023</c:v>
                </c:pt>
                <c:pt idx="202">
                  <c:v>5/10/2023</c:v>
                </c:pt>
                <c:pt idx="203">
                  <c:v>5/11/2023</c:v>
                </c:pt>
                <c:pt idx="204">
                  <c:v>5/12/2023</c:v>
                </c:pt>
                <c:pt idx="205">
                  <c:v>5/15/2023</c:v>
                </c:pt>
                <c:pt idx="206">
                  <c:v>5/16/2023</c:v>
                </c:pt>
                <c:pt idx="207">
                  <c:v>5/17/2023</c:v>
                </c:pt>
                <c:pt idx="208">
                  <c:v>5/18/2023</c:v>
                </c:pt>
                <c:pt idx="209">
                  <c:v>5/19/2023</c:v>
                </c:pt>
                <c:pt idx="210">
                  <c:v>5/22/2023</c:v>
                </c:pt>
                <c:pt idx="211">
                  <c:v>5/23/2023</c:v>
                </c:pt>
                <c:pt idx="212">
                  <c:v>5/24/2023</c:v>
                </c:pt>
                <c:pt idx="213">
                  <c:v>5/25/2023</c:v>
                </c:pt>
                <c:pt idx="214">
                  <c:v>5/26/2023</c:v>
                </c:pt>
                <c:pt idx="215">
                  <c:v>5/29/2023</c:v>
                </c:pt>
                <c:pt idx="216">
                  <c:v>5/30/2023</c:v>
                </c:pt>
                <c:pt idx="217">
                  <c:v>5/31/2023</c:v>
                </c:pt>
                <c:pt idx="218">
                  <c:v>6/1/2023</c:v>
                </c:pt>
                <c:pt idx="219">
                  <c:v>6/2/2023</c:v>
                </c:pt>
                <c:pt idx="220">
                  <c:v>6/5/2023</c:v>
                </c:pt>
                <c:pt idx="221">
                  <c:v>6/6/2023</c:v>
                </c:pt>
                <c:pt idx="222">
                  <c:v>6/7/2023</c:v>
                </c:pt>
                <c:pt idx="223">
                  <c:v>6/8/2023</c:v>
                </c:pt>
                <c:pt idx="224">
                  <c:v>6/9/2023</c:v>
                </c:pt>
                <c:pt idx="225">
                  <c:v>6/12/2023</c:v>
                </c:pt>
                <c:pt idx="226">
                  <c:v>6/14/2023</c:v>
                </c:pt>
                <c:pt idx="227">
                  <c:v>6/15/2023</c:v>
                </c:pt>
                <c:pt idx="228">
                  <c:v>6/16/2023</c:v>
                </c:pt>
                <c:pt idx="229">
                  <c:v>6/19/2023</c:v>
                </c:pt>
                <c:pt idx="230">
                  <c:v>6/20/2023</c:v>
                </c:pt>
                <c:pt idx="231">
                  <c:v>6/21/2023</c:v>
                </c:pt>
                <c:pt idx="232">
                  <c:v>6/22/2023</c:v>
                </c:pt>
                <c:pt idx="233">
                  <c:v>6/23/2023</c:v>
                </c:pt>
                <c:pt idx="234">
                  <c:v>6/26/2023</c:v>
                </c:pt>
                <c:pt idx="235">
                  <c:v>6/27/2023</c:v>
                </c:pt>
                <c:pt idx="236">
                  <c:v>6/28/2023</c:v>
                </c:pt>
                <c:pt idx="237">
                  <c:v>6/29/2023</c:v>
                </c:pt>
                <c:pt idx="238">
                  <c:v>6/30/2023</c:v>
                </c:pt>
                <c:pt idx="239">
                  <c:v>7/4/2023</c:v>
                </c:pt>
                <c:pt idx="240">
                  <c:v>7/5/2023</c:v>
                </c:pt>
                <c:pt idx="241">
                  <c:v>7/6/2023</c:v>
                </c:pt>
                <c:pt idx="242">
                  <c:v>7/7/2023</c:v>
                </c:pt>
                <c:pt idx="243">
                  <c:v>7/10/2023</c:v>
                </c:pt>
                <c:pt idx="244">
                  <c:v>7/11/2023</c:v>
                </c:pt>
                <c:pt idx="245">
                  <c:v>7/12/2023</c:v>
                </c:pt>
                <c:pt idx="246">
                  <c:v>7/13/2023</c:v>
                </c:pt>
                <c:pt idx="247">
                  <c:v>7/14/2023</c:v>
                </c:pt>
                <c:pt idx="248">
                  <c:v>7/17/2023</c:v>
                </c:pt>
                <c:pt idx="249">
                  <c:v>7/21/2023</c:v>
                </c:pt>
              </c:strCache>
            </c:strRef>
          </c:cat>
          <c:val>
            <c:numRef>
              <c:f>'WH Occu. trend Analysis'!$P$600:$P$850</c:f>
              <c:numCache>
                <c:formatCode>General</c:formatCode>
                <c:ptCount val="250"/>
                <c:pt idx="0">
                  <c:v>7192.7950000000001</c:v>
                </c:pt>
                <c:pt idx="1">
                  <c:v>6872.7109999999993</c:v>
                </c:pt>
                <c:pt idx="2">
                  <c:v>6779.003999999999</c:v>
                </c:pt>
                <c:pt idx="3">
                  <c:v>6800.1809999999996</c:v>
                </c:pt>
                <c:pt idx="4">
                  <c:v>7087.1819999999998</c:v>
                </c:pt>
                <c:pt idx="5">
                  <c:v>6800.1809999999996</c:v>
                </c:pt>
                <c:pt idx="6">
                  <c:v>7236.1329999999998</c:v>
                </c:pt>
                <c:pt idx="7">
                  <c:v>7432.3509999999997</c:v>
                </c:pt>
                <c:pt idx="8">
                  <c:v>7381.8289999999997</c:v>
                </c:pt>
                <c:pt idx="9">
                  <c:v>7063.7489999999998</c:v>
                </c:pt>
                <c:pt idx="10">
                  <c:v>6982.3239999999996</c:v>
                </c:pt>
                <c:pt idx="11">
                  <c:v>7082.7349999999997</c:v>
                </c:pt>
                <c:pt idx="12">
                  <c:v>7140.8440000000001</c:v>
                </c:pt>
                <c:pt idx="13">
                  <c:v>7197.1869999999999</c:v>
                </c:pt>
                <c:pt idx="14">
                  <c:v>7298.4269999999997</c:v>
                </c:pt>
                <c:pt idx="15">
                  <c:v>7552.3770000000004</c:v>
                </c:pt>
                <c:pt idx="16">
                  <c:v>7645.2359999999999</c:v>
                </c:pt>
                <c:pt idx="17">
                  <c:v>7608.3159999999998</c:v>
                </c:pt>
                <c:pt idx="18">
                  <c:v>7433.192</c:v>
                </c:pt>
                <c:pt idx="19">
                  <c:v>7362.6949999999997</c:v>
                </c:pt>
                <c:pt idx="20">
                  <c:v>7326.9449999999997</c:v>
                </c:pt>
                <c:pt idx="21">
                  <c:v>7458.2659999999996</c:v>
                </c:pt>
                <c:pt idx="22">
                  <c:v>7463.6750000000002</c:v>
                </c:pt>
                <c:pt idx="23">
                  <c:v>7517.5950000000003</c:v>
                </c:pt>
                <c:pt idx="24">
                  <c:v>7575.9549999999999</c:v>
                </c:pt>
                <c:pt idx="25">
                  <c:v>7692.1880000000001</c:v>
                </c:pt>
                <c:pt idx="26">
                  <c:v>7853.268</c:v>
                </c:pt>
                <c:pt idx="27">
                  <c:v>8024.7860000000001</c:v>
                </c:pt>
                <c:pt idx="28">
                  <c:v>8121.9570000000003</c:v>
                </c:pt>
                <c:pt idx="29">
                  <c:v>8048.1029999999992</c:v>
                </c:pt>
                <c:pt idx="30">
                  <c:v>8067.2279999999992</c:v>
                </c:pt>
                <c:pt idx="31">
                  <c:v>8173.1170000000002</c:v>
                </c:pt>
                <c:pt idx="32">
                  <c:v>8211.39</c:v>
                </c:pt>
                <c:pt idx="33">
                  <c:v>8308.2999999999993</c:v>
                </c:pt>
                <c:pt idx="34">
                  <c:v>8310.9390000000003</c:v>
                </c:pt>
                <c:pt idx="35">
                  <c:v>8142.2780000000012</c:v>
                </c:pt>
                <c:pt idx="36">
                  <c:v>8042</c:v>
                </c:pt>
                <c:pt idx="37">
                  <c:v>8181.9070000000002</c:v>
                </c:pt>
                <c:pt idx="38">
                  <c:v>8276.6560000000009</c:v>
                </c:pt>
                <c:pt idx="39">
                  <c:v>8243.0920000000006</c:v>
                </c:pt>
                <c:pt idx="40">
                  <c:v>8371.7289999999994</c:v>
                </c:pt>
                <c:pt idx="41">
                  <c:v>8498.2389999999996</c:v>
                </c:pt>
                <c:pt idx="42">
                  <c:v>8127.3510000000006</c:v>
                </c:pt>
                <c:pt idx="43">
                  <c:v>8291.0229999999992</c:v>
                </c:pt>
                <c:pt idx="44">
                  <c:v>8174.3619999999992</c:v>
                </c:pt>
                <c:pt idx="45">
                  <c:v>8110.6829999999991</c:v>
                </c:pt>
                <c:pt idx="46">
                  <c:v>8141</c:v>
                </c:pt>
                <c:pt idx="47">
                  <c:v>8024.8390000000009</c:v>
                </c:pt>
                <c:pt idx="48">
                  <c:v>7963.7079999999996</c:v>
                </c:pt>
                <c:pt idx="49">
                  <c:v>7958.1440000000011</c:v>
                </c:pt>
                <c:pt idx="50">
                  <c:v>8101.5170000000007</c:v>
                </c:pt>
                <c:pt idx="51">
                  <c:v>8223.107</c:v>
                </c:pt>
                <c:pt idx="52">
                  <c:v>8375.5319999999992</c:v>
                </c:pt>
                <c:pt idx="53">
                  <c:v>8328.0120000000006</c:v>
                </c:pt>
                <c:pt idx="54">
                  <c:v>8371</c:v>
                </c:pt>
                <c:pt idx="55">
                  <c:v>8391.9240000000009</c:v>
                </c:pt>
                <c:pt idx="56">
                  <c:v>8459</c:v>
                </c:pt>
                <c:pt idx="57">
                  <c:v>8436</c:v>
                </c:pt>
                <c:pt idx="58">
                  <c:v>8487</c:v>
                </c:pt>
                <c:pt idx="59">
                  <c:v>8283</c:v>
                </c:pt>
                <c:pt idx="60">
                  <c:v>8155</c:v>
                </c:pt>
                <c:pt idx="61">
                  <c:v>8222</c:v>
                </c:pt>
                <c:pt idx="62">
                  <c:v>7971</c:v>
                </c:pt>
                <c:pt idx="63">
                  <c:v>7871</c:v>
                </c:pt>
                <c:pt idx="64">
                  <c:v>7984</c:v>
                </c:pt>
                <c:pt idx="65">
                  <c:v>8445</c:v>
                </c:pt>
                <c:pt idx="66">
                  <c:v>8581</c:v>
                </c:pt>
                <c:pt idx="67">
                  <c:v>8727</c:v>
                </c:pt>
                <c:pt idx="68">
                  <c:v>8542</c:v>
                </c:pt>
                <c:pt idx="69">
                  <c:v>8324</c:v>
                </c:pt>
                <c:pt idx="70">
                  <c:v>7976</c:v>
                </c:pt>
                <c:pt idx="71">
                  <c:v>8036</c:v>
                </c:pt>
                <c:pt idx="72">
                  <c:v>7996</c:v>
                </c:pt>
                <c:pt idx="73">
                  <c:v>7855</c:v>
                </c:pt>
                <c:pt idx="74">
                  <c:v>7869</c:v>
                </c:pt>
                <c:pt idx="75">
                  <c:v>7952</c:v>
                </c:pt>
                <c:pt idx="76">
                  <c:v>8185</c:v>
                </c:pt>
                <c:pt idx="77">
                  <c:v>8311</c:v>
                </c:pt>
                <c:pt idx="78">
                  <c:v>8233</c:v>
                </c:pt>
                <c:pt idx="79">
                  <c:v>8241</c:v>
                </c:pt>
                <c:pt idx="80">
                  <c:v>8102</c:v>
                </c:pt>
                <c:pt idx="81">
                  <c:v>8183</c:v>
                </c:pt>
                <c:pt idx="82">
                  <c:v>8061</c:v>
                </c:pt>
                <c:pt idx="83">
                  <c:v>8133</c:v>
                </c:pt>
                <c:pt idx="84">
                  <c:v>8083</c:v>
                </c:pt>
                <c:pt idx="85">
                  <c:v>7982</c:v>
                </c:pt>
                <c:pt idx="86">
                  <c:v>8116</c:v>
                </c:pt>
                <c:pt idx="87">
                  <c:v>8198</c:v>
                </c:pt>
                <c:pt idx="88">
                  <c:v>8264</c:v>
                </c:pt>
                <c:pt idx="89">
                  <c:v>8083</c:v>
                </c:pt>
                <c:pt idx="90">
                  <c:v>8049</c:v>
                </c:pt>
                <c:pt idx="91">
                  <c:v>8155</c:v>
                </c:pt>
                <c:pt idx="92">
                  <c:v>8246</c:v>
                </c:pt>
                <c:pt idx="93">
                  <c:v>8180</c:v>
                </c:pt>
                <c:pt idx="94">
                  <c:v>8381</c:v>
                </c:pt>
                <c:pt idx="95">
                  <c:v>8518</c:v>
                </c:pt>
                <c:pt idx="96">
                  <c:v>8426</c:v>
                </c:pt>
                <c:pt idx="97">
                  <c:v>8486</c:v>
                </c:pt>
                <c:pt idx="98">
                  <c:v>8464</c:v>
                </c:pt>
                <c:pt idx="99">
                  <c:v>8821</c:v>
                </c:pt>
                <c:pt idx="100">
                  <c:v>8707</c:v>
                </c:pt>
                <c:pt idx="101">
                  <c:v>8627</c:v>
                </c:pt>
                <c:pt idx="102">
                  <c:v>8300</c:v>
                </c:pt>
                <c:pt idx="103">
                  <c:v>8382</c:v>
                </c:pt>
                <c:pt idx="104">
                  <c:v>8492</c:v>
                </c:pt>
                <c:pt idx="105">
                  <c:v>8427</c:v>
                </c:pt>
                <c:pt idx="106">
                  <c:v>8036</c:v>
                </c:pt>
                <c:pt idx="107">
                  <c:v>8161</c:v>
                </c:pt>
                <c:pt idx="108">
                  <c:v>8297</c:v>
                </c:pt>
                <c:pt idx="109">
                  <c:v>8155</c:v>
                </c:pt>
                <c:pt idx="110">
                  <c:v>8257</c:v>
                </c:pt>
                <c:pt idx="111">
                  <c:v>8062</c:v>
                </c:pt>
                <c:pt idx="112">
                  <c:v>8062</c:v>
                </c:pt>
                <c:pt idx="113">
                  <c:v>8243</c:v>
                </c:pt>
                <c:pt idx="114">
                  <c:v>8238</c:v>
                </c:pt>
                <c:pt idx="115">
                  <c:v>8036</c:v>
                </c:pt>
                <c:pt idx="116">
                  <c:v>8269</c:v>
                </c:pt>
                <c:pt idx="117">
                  <c:v>8376</c:v>
                </c:pt>
                <c:pt idx="118">
                  <c:v>8250</c:v>
                </c:pt>
                <c:pt idx="119">
                  <c:v>8142</c:v>
                </c:pt>
                <c:pt idx="120">
                  <c:v>8145</c:v>
                </c:pt>
                <c:pt idx="121">
                  <c:v>8298</c:v>
                </c:pt>
                <c:pt idx="122">
                  <c:v>8112</c:v>
                </c:pt>
                <c:pt idx="123">
                  <c:v>7734</c:v>
                </c:pt>
                <c:pt idx="124">
                  <c:v>7816</c:v>
                </c:pt>
                <c:pt idx="125">
                  <c:v>7726</c:v>
                </c:pt>
                <c:pt idx="126">
                  <c:v>7652</c:v>
                </c:pt>
                <c:pt idx="127">
                  <c:v>7668</c:v>
                </c:pt>
                <c:pt idx="128">
                  <c:v>7407</c:v>
                </c:pt>
                <c:pt idx="129">
                  <c:v>7446</c:v>
                </c:pt>
                <c:pt idx="130">
                  <c:v>7429</c:v>
                </c:pt>
                <c:pt idx="131">
                  <c:v>7466</c:v>
                </c:pt>
                <c:pt idx="132">
                  <c:v>7465</c:v>
                </c:pt>
                <c:pt idx="133">
                  <c:v>7465.1120000000001</c:v>
                </c:pt>
                <c:pt idx="134">
                  <c:v>7573.4340000000002</c:v>
                </c:pt>
                <c:pt idx="135">
                  <c:v>7685.973</c:v>
                </c:pt>
                <c:pt idx="136">
                  <c:v>7757.2659999999996</c:v>
                </c:pt>
                <c:pt idx="137">
                  <c:v>7718.6049999999996</c:v>
                </c:pt>
                <c:pt idx="138">
                  <c:v>7657</c:v>
                </c:pt>
                <c:pt idx="139">
                  <c:v>7771.0820000000003</c:v>
                </c:pt>
                <c:pt idx="140">
                  <c:v>7837.3469999999998</c:v>
                </c:pt>
                <c:pt idx="141">
                  <c:v>7885.9949999999999</c:v>
                </c:pt>
                <c:pt idx="142">
                  <c:v>7978.6559999999999</c:v>
                </c:pt>
                <c:pt idx="143">
                  <c:v>8090.6750000000002</c:v>
                </c:pt>
                <c:pt idx="144">
                  <c:v>8272.4279999999999</c:v>
                </c:pt>
                <c:pt idx="145">
                  <c:v>8365.2440000000006</c:v>
                </c:pt>
                <c:pt idx="146">
                  <c:v>8209.4660000000003</c:v>
                </c:pt>
                <c:pt idx="147">
                  <c:v>8172.2779999999993</c:v>
                </c:pt>
                <c:pt idx="148">
                  <c:v>8157.8919999999989</c:v>
                </c:pt>
                <c:pt idx="149">
                  <c:v>8244.6970000000001</c:v>
                </c:pt>
                <c:pt idx="150">
                  <c:v>8225.5169999999998</c:v>
                </c:pt>
                <c:pt idx="151">
                  <c:v>8093.3129999999992</c:v>
                </c:pt>
                <c:pt idx="152">
                  <c:v>8088.168999999999</c:v>
                </c:pt>
                <c:pt idx="153">
                  <c:v>8192.1275000000005</c:v>
                </c:pt>
                <c:pt idx="154">
                  <c:v>8398.5215000000007</c:v>
                </c:pt>
                <c:pt idx="155">
                  <c:v>8485.0295000000006</c:v>
                </c:pt>
                <c:pt idx="156">
                  <c:v>8496.9495000000006</c:v>
                </c:pt>
                <c:pt idx="157">
                  <c:v>8428.6574999999993</c:v>
                </c:pt>
                <c:pt idx="158">
                  <c:v>8365.3935000000001</c:v>
                </c:pt>
                <c:pt idx="159">
                  <c:v>8531.2194999999992</c:v>
                </c:pt>
                <c:pt idx="160">
                  <c:v>8683.2764999999999</c:v>
                </c:pt>
                <c:pt idx="161">
                  <c:v>8445.3775000000005</c:v>
                </c:pt>
                <c:pt idx="162">
                  <c:v>8365.1205000000009</c:v>
                </c:pt>
                <c:pt idx="163">
                  <c:v>8403.7294999999995</c:v>
                </c:pt>
                <c:pt idx="164">
                  <c:v>8533.4145000000008</c:v>
                </c:pt>
                <c:pt idx="165">
                  <c:v>8573.8155000000006</c:v>
                </c:pt>
                <c:pt idx="166">
                  <c:v>8472.5745000000006</c:v>
                </c:pt>
                <c:pt idx="167">
                  <c:v>7972.9889999999996</c:v>
                </c:pt>
                <c:pt idx="168">
                  <c:v>8181.4089999999997</c:v>
                </c:pt>
                <c:pt idx="169">
                  <c:v>8246.4279999999999</c:v>
                </c:pt>
                <c:pt idx="170">
                  <c:v>8013.4879999999994</c:v>
                </c:pt>
                <c:pt idx="171">
                  <c:v>8014.41</c:v>
                </c:pt>
                <c:pt idx="172">
                  <c:v>8099.2829999999994</c:v>
                </c:pt>
                <c:pt idx="173">
                  <c:v>8275.73</c:v>
                </c:pt>
                <c:pt idx="174">
                  <c:v>8350.4279999999999</c:v>
                </c:pt>
                <c:pt idx="175">
                  <c:v>8240.83</c:v>
                </c:pt>
                <c:pt idx="176">
                  <c:v>8144.52</c:v>
                </c:pt>
                <c:pt idx="177">
                  <c:v>7708.0379999999996</c:v>
                </c:pt>
                <c:pt idx="178">
                  <c:v>7884.7089999999998</c:v>
                </c:pt>
                <c:pt idx="179">
                  <c:v>7987.4650000000001</c:v>
                </c:pt>
                <c:pt idx="180">
                  <c:v>7893.3639999999996</c:v>
                </c:pt>
                <c:pt idx="181">
                  <c:v>7757.3649999999998</c:v>
                </c:pt>
                <c:pt idx="182">
                  <c:v>7837.9870000000001</c:v>
                </c:pt>
                <c:pt idx="183">
                  <c:v>7837.9870000000001</c:v>
                </c:pt>
                <c:pt idx="184">
                  <c:v>7773.2009999999991</c:v>
                </c:pt>
                <c:pt idx="185">
                  <c:v>7800.8119999999999</c:v>
                </c:pt>
                <c:pt idx="186">
                  <c:v>7569.75</c:v>
                </c:pt>
                <c:pt idx="187">
                  <c:v>7815.351999999999</c:v>
                </c:pt>
                <c:pt idx="188">
                  <c:v>7924.128999999999</c:v>
                </c:pt>
                <c:pt idx="189">
                  <c:v>7897.3259999999991</c:v>
                </c:pt>
                <c:pt idx="190">
                  <c:v>7617.3429999999989</c:v>
                </c:pt>
                <c:pt idx="191">
                  <c:v>7562.7889999999989</c:v>
                </c:pt>
                <c:pt idx="192">
                  <c:v>7484.3279999999995</c:v>
                </c:pt>
                <c:pt idx="193">
                  <c:v>7543.8119999999999</c:v>
                </c:pt>
                <c:pt idx="194">
                  <c:v>7543.8119999999999</c:v>
                </c:pt>
                <c:pt idx="195">
                  <c:v>7408.4105</c:v>
                </c:pt>
                <c:pt idx="196">
                  <c:v>7407.1124999999993</c:v>
                </c:pt>
                <c:pt idx="197">
                  <c:v>7311.628999999999</c:v>
                </c:pt>
                <c:pt idx="198">
                  <c:v>7518.6509999999998</c:v>
                </c:pt>
                <c:pt idx="199">
                  <c:v>7540.4660000000003</c:v>
                </c:pt>
                <c:pt idx="200">
                  <c:v>7465.2950000000001</c:v>
                </c:pt>
                <c:pt idx="201">
                  <c:v>7555.7150000000001</c:v>
                </c:pt>
                <c:pt idx="202">
                  <c:v>7704.2939999999999</c:v>
                </c:pt>
                <c:pt idx="203">
                  <c:v>7732.5059999999994</c:v>
                </c:pt>
                <c:pt idx="204">
                  <c:v>7776.6729999999989</c:v>
                </c:pt>
                <c:pt idx="205">
                  <c:v>7882.5649999999987</c:v>
                </c:pt>
                <c:pt idx="206">
                  <c:v>8029.2639999999992</c:v>
                </c:pt>
                <c:pt idx="207">
                  <c:v>8263.1560000000009</c:v>
                </c:pt>
                <c:pt idx="208">
                  <c:v>8277.3469999999998</c:v>
                </c:pt>
                <c:pt idx="209">
                  <c:v>8101.4499999999989</c:v>
                </c:pt>
                <c:pt idx="210">
                  <c:v>7661.9889999999996</c:v>
                </c:pt>
                <c:pt idx="211">
                  <c:v>7850.28</c:v>
                </c:pt>
                <c:pt idx="212">
                  <c:v>7831.2709999999997</c:v>
                </c:pt>
                <c:pt idx="213">
                  <c:v>7606.5640000000003</c:v>
                </c:pt>
                <c:pt idx="214">
                  <c:v>7328.4605000000001</c:v>
                </c:pt>
                <c:pt idx="215">
                  <c:v>7104.0195000000003</c:v>
                </c:pt>
                <c:pt idx="216">
                  <c:v>7212.4035000000003</c:v>
                </c:pt>
                <c:pt idx="217">
                  <c:v>7239.8355000000001</c:v>
                </c:pt>
                <c:pt idx="218">
                  <c:v>7025.5315000000001</c:v>
                </c:pt>
                <c:pt idx="219">
                  <c:v>6943.7494999999999</c:v>
                </c:pt>
                <c:pt idx="220">
                  <c:v>6943.7494999999999</c:v>
                </c:pt>
                <c:pt idx="221">
                  <c:v>6906.7134999999998</c:v>
                </c:pt>
                <c:pt idx="222">
                  <c:v>7281.8315000000002</c:v>
                </c:pt>
                <c:pt idx="223">
                  <c:v>7465.3114999999998</c:v>
                </c:pt>
                <c:pt idx="224">
                  <c:v>7602.0609999999997</c:v>
                </c:pt>
                <c:pt idx="225">
                  <c:v>7217.5259999999998</c:v>
                </c:pt>
                <c:pt idx="226">
                  <c:v>7705.4040000000005</c:v>
                </c:pt>
                <c:pt idx="227">
                  <c:v>7854.9</c:v>
                </c:pt>
                <c:pt idx="228">
                  <c:v>7618.5259999999998</c:v>
                </c:pt>
                <c:pt idx="229">
                  <c:v>7385.82</c:v>
                </c:pt>
                <c:pt idx="230">
                  <c:v>7642.8950000000004</c:v>
                </c:pt>
                <c:pt idx="231">
                  <c:v>7662.25</c:v>
                </c:pt>
                <c:pt idx="232">
                  <c:v>7529.326</c:v>
                </c:pt>
                <c:pt idx="233">
                  <c:v>7717.25</c:v>
                </c:pt>
                <c:pt idx="234">
                  <c:v>7202.3225000000002</c:v>
                </c:pt>
                <c:pt idx="235">
                  <c:v>7208.8630000000003</c:v>
                </c:pt>
                <c:pt idx="236">
                  <c:v>7261.2380000000003</c:v>
                </c:pt>
                <c:pt idx="237">
                  <c:v>7739.0360000000001</c:v>
                </c:pt>
                <c:pt idx="238">
                  <c:v>7771.9409999999998</c:v>
                </c:pt>
                <c:pt idx="239">
                  <c:v>7522.0910000000003</c:v>
                </c:pt>
                <c:pt idx="240">
                  <c:v>7747.2439999999997</c:v>
                </c:pt>
                <c:pt idx="241">
                  <c:v>7807.5339999999997</c:v>
                </c:pt>
                <c:pt idx="242">
                  <c:v>7870.683</c:v>
                </c:pt>
                <c:pt idx="243">
                  <c:v>7774.8680000000004</c:v>
                </c:pt>
                <c:pt idx="244">
                  <c:v>7953.1220000000003</c:v>
                </c:pt>
                <c:pt idx="245">
                  <c:v>7969.8850000000002</c:v>
                </c:pt>
                <c:pt idx="246">
                  <c:v>7650.8305</c:v>
                </c:pt>
                <c:pt idx="247">
                  <c:v>7673.4475000000002</c:v>
                </c:pt>
                <c:pt idx="248">
                  <c:v>7513.1944999999996</c:v>
                </c:pt>
                <c:pt idx="249">
                  <c:v>7676.0394999999999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14-4314-8DE4-6EEF551940E5}"/>
            </c:ext>
          </c:extLst>
        </c:ser>
        <c:ser>
          <c:idx val="2"/>
          <c:order val="2"/>
          <c:tx>
            <c:strRef>
              <c:f>'WH Occu. trend Analysis'!$Q$599</c:f>
              <c:strCache>
                <c:ptCount val="1"/>
                <c:pt idx="0">
                  <c:v>Orugodawatta DC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'WH Occu. trend Analysis'!$N$600:$N$850</c:f>
              <c:strCache>
                <c:ptCount val="250"/>
                <c:pt idx="0">
                  <c:v>7/4/2022</c:v>
                </c:pt>
                <c:pt idx="1">
                  <c:v>7/5/2022</c:v>
                </c:pt>
                <c:pt idx="2">
                  <c:v>7/6/2022</c:v>
                </c:pt>
                <c:pt idx="3">
                  <c:v>7/7/2022</c:v>
                </c:pt>
                <c:pt idx="4">
                  <c:v>7/8/2022</c:v>
                </c:pt>
                <c:pt idx="5">
                  <c:v>7/11/2022</c:v>
                </c:pt>
                <c:pt idx="6">
                  <c:v>7/12/2022</c:v>
                </c:pt>
                <c:pt idx="7">
                  <c:v>7/14/2022</c:v>
                </c:pt>
                <c:pt idx="8">
                  <c:v>7/15/2022</c:v>
                </c:pt>
                <c:pt idx="9">
                  <c:v>7/18/2022</c:v>
                </c:pt>
                <c:pt idx="10">
                  <c:v>7/19/2022</c:v>
                </c:pt>
                <c:pt idx="11">
                  <c:v>7/20/2022</c:v>
                </c:pt>
                <c:pt idx="12">
                  <c:v>7/21/2022</c:v>
                </c:pt>
                <c:pt idx="13">
                  <c:v>7/22/2022</c:v>
                </c:pt>
                <c:pt idx="14">
                  <c:v>7/25/2022</c:v>
                </c:pt>
                <c:pt idx="15">
                  <c:v>7/26/2022</c:v>
                </c:pt>
                <c:pt idx="16">
                  <c:v>7/27/2022</c:v>
                </c:pt>
                <c:pt idx="17">
                  <c:v>7/28/2022</c:v>
                </c:pt>
                <c:pt idx="18">
                  <c:v>7/29/2022</c:v>
                </c:pt>
                <c:pt idx="19">
                  <c:v>8/1/2022</c:v>
                </c:pt>
                <c:pt idx="20">
                  <c:v>8/2/2022</c:v>
                </c:pt>
                <c:pt idx="21">
                  <c:v>8/3/2022</c:v>
                </c:pt>
                <c:pt idx="22">
                  <c:v>8/4/2022</c:v>
                </c:pt>
                <c:pt idx="23">
                  <c:v>8/5/2022</c:v>
                </c:pt>
                <c:pt idx="24">
                  <c:v>8/8/2022</c:v>
                </c:pt>
                <c:pt idx="25">
                  <c:v>8/9/2022</c:v>
                </c:pt>
                <c:pt idx="26">
                  <c:v>8/10/2022</c:v>
                </c:pt>
                <c:pt idx="27">
                  <c:v>8/15/2022</c:v>
                </c:pt>
                <c:pt idx="28">
                  <c:v>8/16/2022</c:v>
                </c:pt>
                <c:pt idx="29">
                  <c:v>8/17/2022</c:v>
                </c:pt>
                <c:pt idx="30">
                  <c:v>8/18/2022</c:v>
                </c:pt>
                <c:pt idx="31">
                  <c:v>8/19/2022</c:v>
                </c:pt>
                <c:pt idx="32">
                  <c:v>8/22/2022</c:v>
                </c:pt>
                <c:pt idx="33">
                  <c:v>8/23/2022</c:v>
                </c:pt>
                <c:pt idx="34">
                  <c:v>8/24/2022</c:v>
                </c:pt>
                <c:pt idx="35">
                  <c:v>8/25/2022</c:v>
                </c:pt>
                <c:pt idx="36">
                  <c:v>8/26/2022</c:v>
                </c:pt>
                <c:pt idx="37">
                  <c:v>8/29/2022</c:v>
                </c:pt>
                <c:pt idx="38">
                  <c:v>8/30/2022</c:v>
                </c:pt>
                <c:pt idx="39">
                  <c:v>8/31/2022</c:v>
                </c:pt>
                <c:pt idx="40">
                  <c:v>9/1/2022</c:v>
                </c:pt>
                <c:pt idx="41">
                  <c:v>9/2/2022</c:v>
                </c:pt>
                <c:pt idx="42">
                  <c:v>9/5/2022</c:v>
                </c:pt>
                <c:pt idx="43">
                  <c:v>9/6/2022</c:v>
                </c:pt>
                <c:pt idx="44">
                  <c:v>9/7/2022</c:v>
                </c:pt>
                <c:pt idx="45">
                  <c:v>9/9/2022</c:v>
                </c:pt>
                <c:pt idx="46">
                  <c:v>9/13/2022</c:v>
                </c:pt>
                <c:pt idx="47">
                  <c:v>9/14/2022</c:v>
                </c:pt>
                <c:pt idx="48">
                  <c:v>9/15/2022</c:v>
                </c:pt>
                <c:pt idx="49">
                  <c:v>9/16/2022</c:v>
                </c:pt>
                <c:pt idx="50">
                  <c:v>9/19/2022</c:v>
                </c:pt>
                <c:pt idx="51">
                  <c:v>9/20/2022</c:v>
                </c:pt>
                <c:pt idx="52">
                  <c:v>9/21/2022</c:v>
                </c:pt>
                <c:pt idx="53">
                  <c:v>9/22/2022</c:v>
                </c:pt>
                <c:pt idx="54">
                  <c:v>9/23/2022</c:v>
                </c:pt>
                <c:pt idx="55">
                  <c:v>9/26/2022</c:v>
                </c:pt>
                <c:pt idx="56">
                  <c:v>9/27/2022</c:v>
                </c:pt>
                <c:pt idx="57">
                  <c:v>9/28/2022</c:v>
                </c:pt>
                <c:pt idx="58">
                  <c:v>9/29/2022</c:v>
                </c:pt>
                <c:pt idx="59">
                  <c:v>9/30/2022</c:v>
                </c:pt>
                <c:pt idx="60">
                  <c:v>10/3/2022</c:v>
                </c:pt>
                <c:pt idx="61">
                  <c:v>10/4/2022</c:v>
                </c:pt>
                <c:pt idx="62">
                  <c:v>10/5/2022</c:v>
                </c:pt>
                <c:pt idx="63">
                  <c:v>10/6/2022</c:v>
                </c:pt>
                <c:pt idx="64">
                  <c:v>10/7/2022</c:v>
                </c:pt>
                <c:pt idx="65">
                  <c:v>10/10/2022</c:v>
                </c:pt>
                <c:pt idx="66">
                  <c:v>10/11/2022</c:v>
                </c:pt>
                <c:pt idx="67">
                  <c:v>10/12/2022</c:v>
                </c:pt>
                <c:pt idx="68">
                  <c:v>10/13/2022</c:v>
                </c:pt>
                <c:pt idx="69">
                  <c:v>10/14/2022</c:v>
                </c:pt>
                <c:pt idx="70">
                  <c:v>10/17/2022</c:v>
                </c:pt>
                <c:pt idx="71">
                  <c:v>10/18/2022</c:v>
                </c:pt>
                <c:pt idx="72">
                  <c:v>10/19/2022</c:v>
                </c:pt>
                <c:pt idx="73">
                  <c:v>10/20/2022</c:v>
                </c:pt>
                <c:pt idx="74">
                  <c:v>10/21/2022</c:v>
                </c:pt>
                <c:pt idx="75">
                  <c:v>10/24/2022</c:v>
                </c:pt>
                <c:pt idx="76">
                  <c:v>10/25/2022</c:v>
                </c:pt>
                <c:pt idx="77">
                  <c:v>10/26/2022</c:v>
                </c:pt>
                <c:pt idx="78">
                  <c:v>10/27/2022</c:v>
                </c:pt>
                <c:pt idx="79">
                  <c:v>10/28/2022</c:v>
                </c:pt>
                <c:pt idx="80">
                  <c:v>10/31/2022</c:v>
                </c:pt>
                <c:pt idx="81">
                  <c:v>11/1/2022</c:v>
                </c:pt>
                <c:pt idx="82">
                  <c:v>11/2/2022</c:v>
                </c:pt>
                <c:pt idx="83">
                  <c:v>11/3/2022</c:v>
                </c:pt>
                <c:pt idx="84">
                  <c:v>11/4/2022</c:v>
                </c:pt>
                <c:pt idx="85">
                  <c:v>11/8/2022</c:v>
                </c:pt>
                <c:pt idx="86">
                  <c:v>11/9/2022</c:v>
                </c:pt>
                <c:pt idx="87">
                  <c:v>11/10/2022</c:v>
                </c:pt>
                <c:pt idx="88">
                  <c:v>11/11/2022</c:v>
                </c:pt>
                <c:pt idx="89">
                  <c:v>11/15/2022</c:v>
                </c:pt>
                <c:pt idx="90">
                  <c:v>11/16/2022</c:v>
                </c:pt>
                <c:pt idx="91">
                  <c:v>11/17/2022</c:v>
                </c:pt>
                <c:pt idx="92">
                  <c:v>11/18/2022</c:v>
                </c:pt>
                <c:pt idx="93">
                  <c:v>11/21/2022</c:v>
                </c:pt>
                <c:pt idx="94">
                  <c:v>11/22/2022</c:v>
                </c:pt>
                <c:pt idx="95">
                  <c:v>11/23/2022</c:v>
                </c:pt>
                <c:pt idx="96">
                  <c:v>11/24/2022</c:v>
                </c:pt>
                <c:pt idx="97">
                  <c:v>11/25/2022</c:v>
                </c:pt>
                <c:pt idx="98">
                  <c:v>11/28/2022</c:v>
                </c:pt>
                <c:pt idx="99">
                  <c:v>11/30/2022</c:v>
                </c:pt>
                <c:pt idx="100">
                  <c:v>12/1/2022</c:v>
                </c:pt>
                <c:pt idx="101">
                  <c:v>12/2/2022</c:v>
                </c:pt>
                <c:pt idx="102">
                  <c:v>12/5/2022</c:v>
                </c:pt>
                <c:pt idx="103">
                  <c:v>12/6/2022</c:v>
                </c:pt>
                <c:pt idx="104">
                  <c:v>12/8/2022</c:v>
                </c:pt>
                <c:pt idx="105">
                  <c:v>12/9/2022</c:v>
                </c:pt>
                <c:pt idx="106">
                  <c:v>12/12/2022</c:v>
                </c:pt>
                <c:pt idx="107">
                  <c:v>12/13/2022</c:v>
                </c:pt>
                <c:pt idx="108">
                  <c:v>12/14/2022</c:v>
                </c:pt>
                <c:pt idx="109">
                  <c:v>12/15/2022</c:v>
                </c:pt>
                <c:pt idx="110">
                  <c:v>12/16/2022</c:v>
                </c:pt>
                <c:pt idx="111">
                  <c:v>12/19/2022</c:v>
                </c:pt>
                <c:pt idx="112">
                  <c:v>12/20/2022</c:v>
                </c:pt>
                <c:pt idx="113">
                  <c:v>12/22/2022</c:v>
                </c:pt>
                <c:pt idx="114">
                  <c:v>12/23/2022</c:v>
                </c:pt>
                <c:pt idx="115">
                  <c:v>12/27/2022</c:v>
                </c:pt>
                <c:pt idx="116">
                  <c:v>12/28/2022</c:v>
                </c:pt>
                <c:pt idx="117">
                  <c:v>12/29/2022</c:v>
                </c:pt>
                <c:pt idx="118">
                  <c:v>12/30/2022</c:v>
                </c:pt>
                <c:pt idx="119">
                  <c:v>1/2/2023</c:v>
                </c:pt>
                <c:pt idx="120">
                  <c:v>1/3/2023</c:v>
                </c:pt>
                <c:pt idx="121">
                  <c:v>1/4/2023</c:v>
                </c:pt>
                <c:pt idx="122">
                  <c:v>1/5/2023</c:v>
                </c:pt>
                <c:pt idx="123">
                  <c:v>1/9/2023</c:v>
                </c:pt>
                <c:pt idx="124">
                  <c:v>1/10/2023</c:v>
                </c:pt>
                <c:pt idx="125">
                  <c:v>1/11/2023</c:v>
                </c:pt>
                <c:pt idx="126">
                  <c:v>1/12/2023</c:v>
                </c:pt>
                <c:pt idx="127">
                  <c:v>1/13/2023</c:v>
                </c:pt>
                <c:pt idx="128">
                  <c:v>1/16/2023</c:v>
                </c:pt>
                <c:pt idx="129">
                  <c:v>1/17/2023</c:v>
                </c:pt>
                <c:pt idx="130">
                  <c:v>1/18/2023</c:v>
                </c:pt>
                <c:pt idx="131">
                  <c:v>1/19/2023</c:v>
                </c:pt>
                <c:pt idx="132">
                  <c:v>1/20/2023</c:v>
                </c:pt>
                <c:pt idx="133">
                  <c:v>1/23/2023</c:v>
                </c:pt>
                <c:pt idx="134">
                  <c:v>1/24/2023</c:v>
                </c:pt>
                <c:pt idx="135">
                  <c:v>1/25/2023</c:v>
                </c:pt>
                <c:pt idx="136">
                  <c:v>1/26/2023</c:v>
                </c:pt>
                <c:pt idx="137">
                  <c:v>1/27/2023</c:v>
                </c:pt>
                <c:pt idx="138">
                  <c:v>1/30/2023</c:v>
                </c:pt>
                <c:pt idx="139">
                  <c:v>1/31/2023</c:v>
                </c:pt>
                <c:pt idx="140">
                  <c:v>2/1/2023</c:v>
                </c:pt>
                <c:pt idx="141">
                  <c:v>2/2/2023</c:v>
                </c:pt>
                <c:pt idx="142">
                  <c:v>2/3/2023</c:v>
                </c:pt>
                <c:pt idx="143">
                  <c:v>2/6/2023</c:v>
                </c:pt>
                <c:pt idx="144">
                  <c:v>2/7/2023</c:v>
                </c:pt>
                <c:pt idx="145">
                  <c:v>2/8/2023</c:v>
                </c:pt>
                <c:pt idx="146">
                  <c:v>2/9/2023</c:v>
                </c:pt>
                <c:pt idx="147">
                  <c:v>2/10/2023</c:v>
                </c:pt>
                <c:pt idx="148">
                  <c:v>2/13/2023</c:v>
                </c:pt>
                <c:pt idx="149">
                  <c:v>2/14/2023</c:v>
                </c:pt>
                <c:pt idx="150">
                  <c:v>2/15/2023</c:v>
                </c:pt>
                <c:pt idx="151">
                  <c:v>2/16/2023</c:v>
                </c:pt>
                <c:pt idx="152">
                  <c:v>2/17/2023</c:v>
                </c:pt>
                <c:pt idx="153">
                  <c:v>2/20/2023</c:v>
                </c:pt>
                <c:pt idx="154">
                  <c:v>2/21/2023</c:v>
                </c:pt>
                <c:pt idx="155">
                  <c:v>2/22/2023</c:v>
                </c:pt>
                <c:pt idx="156">
                  <c:v>2/23/2023</c:v>
                </c:pt>
                <c:pt idx="157">
                  <c:v>2/24/2023</c:v>
                </c:pt>
                <c:pt idx="158">
                  <c:v>2/27/2023</c:v>
                </c:pt>
                <c:pt idx="159">
                  <c:v>2/28/2023</c:v>
                </c:pt>
                <c:pt idx="160">
                  <c:v>3/1/2023</c:v>
                </c:pt>
                <c:pt idx="161">
                  <c:v>3/2/2023</c:v>
                </c:pt>
                <c:pt idx="162">
                  <c:v>3/3/2023</c:v>
                </c:pt>
                <c:pt idx="163">
                  <c:v>3/7/2023</c:v>
                </c:pt>
                <c:pt idx="164">
                  <c:v>3/8/2023</c:v>
                </c:pt>
                <c:pt idx="165">
                  <c:v>3/9/2023</c:v>
                </c:pt>
                <c:pt idx="166">
                  <c:v>3/10/2023</c:v>
                </c:pt>
                <c:pt idx="167">
                  <c:v>3/13/2023</c:v>
                </c:pt>
                <c:pt idx="168">
                  <c:v>3/14/2023</c:v>
                </c:pt>
                <c:pt idx="169">
                  <c:v>3/15/2023</c:v>
                </c:pt>
                <c:pt idx="170">
                  <c:v>3/16/2023</c:v>
                </c:pt>
                <c:pt idx="171">
                  <c:v>3/17/2023</c:v>
                </c:pt>
                <c:pt idx="172">
                  <c:v>3/20/2023</c:v>
                </c:pt>
                <c:pt idx="173">
                  <c:v>3/21/2023</c:v>
                </c:pt>
                <c:pt idx="174">
                  <c:v>3/22/2023</c:v>
                </c:pt>
                <c:pt idx="175">
                  <c:v>3/23/2023</c:v>
                </c:pt>
                <c:pt idx="176">
                  <c:v>3/24/2023</c:v>
                </c:pt>
                <c:pt idx="177">
                  <c:v>3/27/2023</c:v>
                </c:pt>
                <c:pt idx="178">
                  <c:v>3/28/2023</c:v>
                </c:pt>
                <c:pt idx="179">
                  <c:v>3/29/2023</c:v>
                </c:pt>
                <c:pt idx="180">
                  <c:v>3/30/2023</c:v>
                </c:pt>
                <c:pt idx="181">
                  <c:v>3/31/2023</c:v>
                </c:pt>
                <c:pt idx="182">
                  <c:v>4/3/2023</c:v>
                </c:pt>
                <c:pt idx="183">
                  <c:v>4/4/2023</c:v>
                </c:pt>
                <c:pt idx="184">
                  <c:v>4/6/2023</c:v>
                </c:pt>
                <c:pt idx="185">
                  <c:v>4/7/2023</c:v>
                </c:pt>
                <c:pt idx="186">
                  <c:v>4/10/2023</c:v>
                </c:pt>
                <c:pt idx="187">
                  <c:v>4/17/2023</c:v>
                </c:pt>
                <c:pt idx="188">
                  <c:v>4/18/2023</c:v>
                </c:pt>
                <c:pt idx="189">
                  <c:v>4/19/2023</c:v>
                </c:pt>
                <c:pt idx="190">
                  <c:v>4/20/2023</c:v>
                </c:pt>
                <c:pt idx="191">
                  <c:v>4/21/2023</c:v>
                </c:pt>
                <c:pt idx="192">
                  <c:v>4/24/2023</c:v>
                </c:pt>
                <c:pt idx="193">
                  <c:v>4/25/2023</c:v>
                </c:pt>
                <c:pt idx="194">
                  <c:v>4/26/2023</c:v>
                </c:pt>
                <c:pt idx="195">
                  <c:v>4/27/2023</c:v>
                </c:pt>
                <c:pt idx="196">
                  <c:v>4/28/2023</c:v>
                </c:pt>
                <c:pt idx="197">
                  <c:v>5/2/2023</c:v>
                </c:pt>
                <c:pt idx="198">
                  <c:v>5/3/2023</c:v>
                </c:pt>
                <c:pt idx="199">
                  <c:v>5/4/2023</c:v>
                </c:pt>
                <c:pt idx="200">
                  <c:v>5/8/2023</c:v>
                </c:pt>
                <c:pt idx="201">
                  <c:v>5/9/2023</c:v>
                </c:pt>
                <c:pt idx="202">
                  <c:v>5/10/2023</c:v>
                </c:pt>
                <c:pt idx="203">
                  <c:v>5/11/2023</c:v>
                </c:pt>
                <c:pt idx="204">
                  <c:v>5/12/2023</c:v>
                </c:pt>
                <c:pt idx="205">
                  <c:v>5/15/2023</c:v>
                </c:pt>
                <c:pt idx="206">
                  <c:v>5/16/2023</c:v>
                </c:pt>
                <c:pt idx="207">
                  <c:v>5/17/2023</c:v>
                </c:pt>
                <c:pt idx="208">
                  <c:v>5/18/2023</c:v>
                </c:pt>
                <c:pt idx="209">
                  <c:v>5/19/2023</c:v>
                </c:pt>
                <c:pt idx="210">
                  <c:v>5/22/2023</c:v>
                </c:pt>
                <c:pt idx="211">
                  <c:v>5/23/2023</c:v>
                </c:pt>
                <c:pt idx="212">
                  <c:v>5/24/2023</c:v>
                </c:pt>
                <c:pt idx="213">
                  <c:v>5/25/2023</c:v>
                </c:pt>
                <c:pt idx="214">
                  <c:v>5/26/2023</c:v>
                </c:pt>
                <c:pt idx="215">
                  <c:v>5/29/2023</c:v>
                </c:pt>
                <c:pt idx="216">
                  <c:v>5/30/2023</c:v>
                </c:pt>
                <c:pt idx="217">
                  <c:v>5/31/2023</c:v>
                </c:pt>
                <c:pt idx="218">
                  <c:v>6/1/2023</c:v>
                </c:pt>
                <c:pt idx="219">
                  <c:v>6/2/2023</c:v>
                </c:pt>
                <c:pt idx="220">
                  <c:v>6/5/2023</c:v>
                </c:pt>
                <c:pt idx="221">
                  <c:v>6/6/2023</c:v>
                </c:pt>
                <c:pt idx="222">
                  <c:v>6/7/2023</c:v>
                </c:pt>
                <c:pt idx="223">
                  <c:v>6/8/2023</c:v>
                </c:pt>
                <c:pt idx="224">
                  <c:v>6/9/2023</c:v>
                </c:pt>
                <c:pt idx="225">
                  <c:v>6/12/2023</c:v>
                </c:pt>
                <c:pt idx="226">
                  <c:v>6/14/2023</c:v>
                </c:pt>
                <c:pt idx="227">
                  <c:v>6/15/2023</c:v>
                </c:pt>
                <c:pt idx="228">
                  <c:v>6/16/2023</c:v>
                </c:pt>
                <c:pt idx="229">
                  <c:v>6/19/2023</c:v>
                </c:pt>
                <c:pt idx="230">
                  <c:v>6/20/2023</c:v>
                </c:pt>
                <c:pt idx="231">
                  <c:v>6/21/2023</c:v>
                </c:pt>
                <c:pt idx="232">
                  <c:v>6/22/2023</c:v>
                </c:pt>
                <c:pt idx="233">
                  <c:v>6/23/2023</c:v>
                </c:pt>
                <c:pt idx="234">
                  <c:v>6/26/2023</c:v>
                </c:pt>
                <c:pt idx="235">
                  <c:v>6/27/2023</c:v>
                </c:pt>
                <c:pt idx="236">
                  <c:v>6/28/2023</c:v>
                </c:pt>
                <c:pt idx="237">
                  <c:v>6/29/2023</c:v>
                </c:pt>
                <c:pt idx="238">
                  <c:v>6/30/2023</c:v>
                </c:pt>
                <c:pt idx="239">
                  <c:v>7/4/2023</c:v>
                </c:pt>
                <c:pt idx="240">
                  <c:v>7/5/2023</c:v>
                </c:pt>
                <c:pt idx="241">
                  <c:v>7/6/2023</c:v>
                </c:pt>
                <c:pt idx="242">
                  <c:v>7/7/2023</c:v>
                </c:pt>
                <c:pt idx="243">
                  <c:v>7/10/2023</c:v>
                </c:pt>
                <c:pt idx="244">
                  <c:v>7/11/2023</c:v>
                </c:pt>
                <c:pt idx="245">
                  <c:v>7/12/2023</c:v>
                </c:pt>
                <c:pt idx="246">
                  <c:v>7/13/2023</c:v>
                </c:pt>
                <c:pt idx="247">
                  <c:v>7/14/2023</c:v>
                </c:pt>
                <c:pt idx="248">
                  <c:v>7/17/2023</c:v>
                </c:pt>
                <c:pt idx="249">
                  <c:v>7/21/2023</c:v>
                </c:pt>
              </c:strCache>
            </c:strRef>
          </c:cat>
          <c:val>
            <c:numRef>
              <c:f>'WH Occu. trend Analysis'!$Q$600:$Q$850</c:f>
              <c:numCache>
                <c:formatCode>General</c:formatCode>
                <c:ptCount val="250"/>
                <c:pt idx="0">
                  <c:v>7352.740490000002</c:v>
                </c:pt>
                <c:pt idx="1">
                  <c:v>7403.1691900000023</c:v>
                </c:pt>
                <c:pt idx="2">
                  <c:v>7626.3810900000017</c:v>
                </c:pt>
                <c:pt idx="3">
                  <c:v>7594.32935</c:v>
                </c:pt>
                <c:pt idx="4">
                  <c:v>7241.2570500000029</c:v>
                </c:pt>
                <c:pt idx="5">
                  <c:v>7594.32935</c:v>
                </c:pt>
                <c:pt idx="6">
                  <c:v>6565.5348500000009</c:v>
                </c:pt>
                <c:pt idx="7">
                  <c:v>6365.4121659999983</c:v>
                </c:pt>
                <c:pt idx="8">
                  <c:v>6268.7707659999996</c:v>
                </c:pt>
                <c:pt idx="9">
                  <c:v>6323.4500660000003</c:v>
                </c:pt>
                <c:pt idx="10">
                  <c:v>6323.4500660000022</c:v>
                </c:pt>
                <c:pt idx="11">
                  <c:v>6234.6795726000018</c:v>
                </c:pt>
                <c:pt idx="12">
                  <c:v>6217.5195726000011</c:v>
                </c:pt>
                <c:pt idx="13">
                  <c:v>6156.184855999998</c:v>
                </c:pt>
                <c:pt idx="14">
                  <c:v>6099.7400813000013</c:v>
                </c:pt>
                <c:pt idx="15">
                  <c:v>6099.1174759999994</c:v>
                </c:pt>
                <c:pt idx="16">
                  <c:v>6034.2606759999999</c:v>
                </c:pt>
                <c:pt idx="17">
                  <c:v>5872.2964880999998</c:v>
                </c:pt>
                <c:pt idx="18">
                  <c:v>5707.3804430000009</c:v>
                </c:pt>
                <c:pt idx="19">
                  <c:v>5864.8388430000005</c:v>
                </c:pt>
                <c:pt idx="20">
                  <c:v>5864.7408430000014</c:v>
                </c:pt>
                <c:pt idx="21">
                  <c:v>5824.4886447000008</c:v>
                </c:pt>
                <c:pt idx="22">
                  <c:v>5805.7190000000001</c:v>
                </c:pt>
                <c:pt idx="23">
                  <c:v>5149.6572099999994</c:v>
                </c:pt>
                <c:pt idx="24">
                  <c:v>5032.3258500000002</c:v>
                </c:pt>
                <c:pt idx="25">
                  <c:v>5030.2896500000006</c:v>
                </c:pt>
                <c:pt idx="26">
                  <c:v>5078.6867834000004</c:v>
                </c:pt>
                <c:pt idx="27">
                  <c:v>5014.6393320000006</c:v>
                </c:pt>
                <c:pt idx="28">
                  <c:v>4977.3452319999997</c:v>
                </c:pt>
                <c:pt idx="29">
                  <c:v>4992.9897820000006</c:v>
                </c:pt>
                <c:pt idx="30">
                  <c:v>5115.4573120000005</c:v>
                </c:pt>
                <c:pt idx="31">
                  <c:v>5388.6489619999993</c:v>
                </c:pt>
                <c:pt idx="32">
                  <c:v>5211.9663007000017</c:v>
                </c:pt>
                <c:pt idx="33">
                  <c:v>5296.247685600003</c:v>
                </c:pt>
                <c:pt idx="34">
                  <c:v>5404.7697203999996</c:v>
                </c:pt>
                <c:pt idx="35">
                  <c:v>5277.085320000002</c:v>
                </c:pt>
                <c:pt idx="36">
                  <c:v>5273</c:v>
                </c:pt>
                <c:pt idx="37">
                  <c:v>4879.8115200000011</c:v>
                </c:pt>
                <c:pt idx="38">
                  <c:v>4746.0012200000001</c:v>
                </c:pt>
                <c:pt idx="39">
                  <c:v>4592.6444605999986</c:v>
                </c:pt>
                <c:pt idx="40">
                  <c:v>4374.8565859999999</c:v>
                </c:pt>
                <c:pt idx="41">
                  <c:v>4425.4127860000008</c:v>
                </c:pt>
                <c:pt idx="42">
                  <c:v>4091.8415859999991</c:v>
                </c:pt>
                <c:pt idx="43">
                  <c:v>4197.1976859999995</c:v>
                </c:pt>
                <c:pt idx="44">
                  <c:v>4302.846286</c:v>
                </c:pt>
                <c:pt idx="45">
                  <c:v>4438.7220420000003</c:v>
                </c:pt>
                <c:pt idx="46">
                  <c:v>4513</c:v>
                </c:pt>
                <c:pt idx="47">
                  <c:v>4333.971841999999</c:v>
                </c:pt>
                <c:pt idx="48">
                  <c:v>3999.5900419999998</c:v>
                </c:pt>
                <c:pt idx="49">
                  <c:v>4356.9572419999986</c:v>
                </c:pt>
                <c:pt idx="50">
                  <c:v>4408.7908420000003</c:v>
                </c:pt>
                <c:pt idx="51">
                  <c:v>4281.9641419999989</c:v>
                </c:pt>
                <c:pt idx="52">
                  <c:v>4429.664342</c:v>
                </c:pt>
                <c:pt idx="53">
                  <c:v>4369.3295420000004</c:v>
                </c:pt>
                <c:pt idx="54">
                  <c:v>4710</c:v>
                </c:pt>
                <c:pt idx="55">
                  <c:v>4435.6407419999996</c:v>
                </c:pt>
                <c:pt idx="56">
                  <c:v>4361</c:v>
                </c:pt>
                <c:pt idx="57">
                  <c:v>4358</c:v>
                </c:pt>
                <c:pt idx="58">
                  <c:v>4558</c:v>
                </c:pt>
                <c:pt idx="59">
                  <c:v>4948</c:v>
                </c:pt>
                <c:pt idx="60">
                  <c:v>4659</c:v>
                </c:pt>
                <c:pt idx="61">
                  <c:v>4837.7183473000014</c:v>
                </c:pt>
                <c:pt idx="62">
                  <c:v>4730</c:v>
                </c:pt>
                <c:pt idx="63">
                  <c:v>4879</c:v>
                </c:pt>
                <c:pt idx="64">
                  <c:v>4971</c:v>
                </c:pt>
                <c:pt idx="65">
                  <c:v>4853</c:v>
                </c:pt>
                <c:pt idx="66">
                  <c:v>4913</c:v>
                </c:pt>
                <c:pt idx="67">
                  <c:v>4783</c:v>
                </c:pt>
                <c:pt idx="68">
                  <c:v>4898</c:v>
                </c:pt>
                <c:pt idx="69">
                  <c:v>4893</c:v>
                </c:pt>
                <c:pt idx="70">
                  <c:v>4806</c:v>
                </c:pt>
                <c:pt idx="71">
                  <c:v>4726</c:v>
                </c:pt>
                <c:pt idx="72">
                  <c:v>4600</c:v>
                </c:pt>
                <c:pt idx="73">
                  <c:v>4613</c:v>
                </c:pt>
                <c:pt idx="74">
                  <c:v>4811</c:v>
                </c:pt>
                <c:pt idx="75">
                  <c:v>4850</c:v>
                </c:pt>
                <c:pt idx="76">
                  <c:v>4920</c:v>
                </c:pt>
                <c:pt idx="77">
                  <c:v>5217</c:v>
                </c:pt>
                <c:pt idx="78">
                  <c:v>5299</c:v>
                </c:pt>
                <c:pt idx="79">
                  <c:v>5574</c:v>
                </c:pt>
                <c:pt idx="80">
                  <c:v>5717</c:v>
                </c:pt>
                <c:pt idx="81">
                  <c:v>5800</c:v>
                </c:pt>
                <c:pt idx="82">
                  <c:v>5672</c:v>
                </c:pt>
                <c:pt idx="83">
                  <c:v>5633</c:v>
                </c:pt>
                <c:pt idx="84">
                  <c:v>5876</c:v>
                </c:pt>
                <c:pt idx="85">
                  <c:v>5767</c:v>
                </c:pt>
                <c:pt idx="86">
                  <c:v>5641</c:v>
                </c:pt>
                <c:pt idx="87">
                  <c:v>5331</c:v>
                </c:pt>
                <c:pt idx="88">
                  <c:v>5232</c:v>
                </c:pt>
                <c:pt idx="89">
                  <c:v>5495</c:v>
                </c:pt>
                <c:pt idx="90">
                  <c:v>5482</c:v>
                </c:pt>
                <c:pt idx="91">
                  <c:v>5456</c:v>
                </c:pt>
                <c:pt idx="92">
                  <c:v>5502</c:v>
                </c:pt>
                <c:pt idx="93">
                  <c:v>5614</c:v>
                </c:pt>
                <c:pt idx="94">
                  <c:v>5504</c:v>
                </c:pt>
                <c:pt idx="95">
                  <c:v>5524</c:v>
                </c:pt>
                <c:pt idx="96">
                  <c:v>5541</c:v>
                </c:pt>
                <c:pt idx="97">
                  <c:v>5420</c:v>
                </c:pt>
                <c:pt idx="98">
                  <c:v>5502</c:v>
                </c:pt>
                <c:pt idx="99">
                  <c:v>5411</c:v>
                </c:pt>
                <c:pt idx="100">
                  <c:v>5388</c:v>
                </c:pt>
                <c:pt idx="101">
                  <c:v>5512</c:v>
                </c:pt>
                <c:pt idx="102">
                  <c:v>5396</c:v>
                </c:pt>
                <c:pt idx="103">
                  <c:v>5357</c:v>
                </c:pt>
                <c:pt idx="104">
                  <c:v>5278</c:v>
                </c:pt>
                <c:pt idx="105">
                  <c:v>5114</c:v>
                </c:pt>
                <c:pt idx="106">
                  <c:v>5108</c:v>
                </c:pt>
                <c:pt idx="107">
                  <c:v>4863</c:v>
                </c:pt>
                <c:pt idx="108">
                  <c:v>5028</c:v>
                </c:pt>
                <c:pt idx="109">
                  <c:v>4961</c:v>
                </c:pt>
                <c:pt idx="110">
                  <c:v>5223</c:v>
                </c:pt>
                <c:pt idx="111">
                  <c:v>4840</c:v>
                </c:pt>
                <c:pt idx="112">
                  <c:v>4643</c:v>
                </c:pt>
                <c:pt idx="113">
                  <c:v>4123</c:v>
                </c:pt>
                <c:pt idx="114">
                  <c:v>4120</c:v>
                </c:pt>
                <c:pt idx="115">
                  <c:v>4380</c:v>
                </c:pt>
                <c:pt idx="116">
                  <c:v>4371</c:v>
                </c:pt>
                <c:pt idx="117">
                  <c:v>4355</c:v>
                </c:pt>
                <c:pt idx="118">
                  <c:v>4420</c:v>
                </c:pt>
                <c:pt idx="119">
                  <c:v>4703</c:v>
                </c:pt>
                <c:pt idx="120">
                  <c:v>4454</c:v>
                </c:pt>
                <c:pt idx="121">
                  <c:v>4569</c:v>
                </c:pt>
                <c:pt idx="122">
                  <c:v>4630</c:v>
                </c:pt>
                <c:pt idx="123">
                  <c:v>4557</c:v>
                </c:pt>
                <c:pt idx="124">
                  <c:v>4649</c:v>
                </c:pt>
                <c:pt idx="125">
                  <c:v>4767</c:v>
                </c:pt>
                <c:pt idx="126">
                  <c:v>4811</c:v>
                </c:pt>
                <c:pt idx="127">
                  <c:v>4969</c:v>
                </c:pt>
                <c:pt idx="128">
                  <c:v>5066</c:v>
                </c:pt>
                <c:pt idx="129">
                  <c:v>4903</c:v>
                </c:pt>
                <c:pt idx="130">
                  <c:v>5022</c:v>
                </c:pt>
                <c:pt idx="131">
                  <c:v>5070</c:v>
                </c:pt>
                <c:pt idx="132">
                  <c:v>5301</c:v>
                </c:pt>
                <c:pt idx="133">
                  <c:v>5256.8794204000005</c:v>
                </c:pt>
                <c:pt idx="134">
                  <c:v>5280.8305960999996</c:v>
                </c:pt>
                <c:pt idx="135">
                  <c:v>5201.7446185000008</c:v>
                </c:pt>
                <c:pt idx="136">
                  <c:v>5327.4541551999991</c:v>
                </c:pt>
                <c:pt idx="137">
                  <c:v>5449.8080652999997</c:v>
                </c:pt>
                <c:pt idx="138">
                  <c:v>5333.2075985999982</c:v>
                </c:pt>
                <c:pt idx="139">
                  <c:v>5466.7061229999999</c:v>
                </c:pt>
                <c:pt idx="140">
                  <c:v>5308.6689111999995</c:v>
                </c:pt>
                <c:pt idx="141">
                  <c:v>4966.5306230000006</c:v>
                </c:pt>
                <c:pt idx="142">
                  <c:v>5155.1202229999999</c:v>
                </c:pt>
                <c:pt idx="143">
                  <c:v>4822.1186669999988</c:v>
                </c:pt>
                <c:pt idx="144">
                  <c:v>4762.5360169999985</c:v>
                </c:pt>
                <c:pt idx="145">
                  <c:v>4828.640786599999</c:v>
                </c:pt>
                <c:pt idx="146">
                  <c:v>4723.9265720000003</c:v>
                </c:pt>
                <c:pt idx="147">
                  <c:v>4581.0796469999987</c:v>
                </c:pt>
                <c:pt idx="148">
                  <c:v>4173.080481</c:v>
                </c:pt>
                <c:pt idx="149">
                  <c:v>4238.9759080000003</c:v>
                </c:pt>
                <c:pt idx="150">
                  <c:v>4355.0633542999994</c:v>
                </c:pt>
                <c:pt idx="151">
                  <c:v>4203.6958485999994</c:v>
                </c:pt>
                <c:pt idx="152">
                  <c:v>4231.8853079999999</c:v>
                </c:pt>
                <c:pt idx="153">
                  <c:v>4126.6613084000001</c:v>
                </c:pt>
                <c:pt idx="154">
                  <c:v>4112.1971629999998</c:v>
                </c:pt>
                <c:pt idx="155">
                  <c:v>4321.2955867999999</c:v>
                </c:pt>
                <c:pt idx="156">
                  <c:v>4093.0649214999989</c:v>
                </c:pt>
                <c:pt idx="157">
                  <c:v>4089.4628528999997</c:v>
                </c:pt>
                <c:pt idx="158">
                  <c:v>3933.9993596000004</c:v>
                </c:pt>
                <c:pt idx="159">
                  <c:v>3951.727766</c:v>
                </c:pt>
                <c:pt idx="160">
                  <c:v>4181.1739659999994</c:v>
                </c:pt>
                <c:pt idx="161">
                  <c:v>3903.7934819999996</c:v>
                </c:pt>
                <c:pt idx="162">
                  <c:v>3938.1704818000003</c:v>
                </c:pt>
                <c:pt idx="163">
                  <c:v>4017.5844820000002</c:v>
                </c:pt>
                <c:pt idx="164">
                  <c:v>4140.3689820000009</c:v>
                </c:pt>
                <c:pt idx="165">
                  <c:v>4007.4996350000001</c:v>
                </c:pt>
                <c:pt idx="166">
                  <c:v>4006.8656349999997</c:v>
                </c:pt>
                <c:pt idx="167">
                  <c:v>4089.5314850000009</c:v>
                </c:pt>
                <c:pt idx="168">
                  <c:v>4099.9298849999996</c:v>
                </c:pt>
                <c:pt idx="169">
                  <c:v>4220.4547476000007</c:v>
                </c:pt>
                <c:pt idx="170">
                  <c:v>4019.0063139999997</c:v>
                </c:pt>
                <c:pt idx="171">
                  <c:v>3987.1319210000006</c:v>
                </c:pt>
                <c:pt idx="172">
                  <c:v>3975.8807443000005</c:v>
                </c:pt>
                <c:pt idx="173">
                  <c:v>4020.6706881999999</c:v>
                </c:pt>
                <c:pt idx="174">
                  <c:v>4158.7615381999994</c:v>
                </c:pt>
                <c:pt idx="175">
                  <c:v>3987.3721284000017</c:v>
                </c:pt>
                <c:pt idx="176">
                  <c:v>3958.4622493999996</c:v>
                </c:pt>
                <c:pt idx="177">
                  <c:v>4062.9174360000006</c:v>
                </c:pt>
                <c:pt idx="178">
                  <c:v>4074.0306492999998</c:v>
                </c:pt>
                <c:pt idx="179">
                  <c:v>4107.382171000002</c:v>
                </c:pt>
                <c:pt idx="180">
                  <c:v>4093.3575410000017</c:v>
                </c:pt>
                <c:pt idx="181">
                  <c:v>4172.5855410000013</c:v>
                </c:pt>
                <c:pt idx="182">
                  <c:v>4002.2956410000006</c:v>
                </c:pt>
                <c:pt idx="183">
                  <c:v>4002.2956410000006</c:v>
                </c:pt>
                <c:pt idx="184">
                  <c:v>4042.6023468000008</c:v>
                </c:pt>
                <c:pt idx="185">
                  <c:v>4110.7233513000001</c:v>
                </c:pt>
                <c:pt idx="186">
                  <c:v>4187.5847513000017</c:v>
                </c:pt>
                <c:pt idx="187">
                  <c:v>4205.9700512999989</c:v>
                </c:pt>
                <c:pt idx="188">
                  <c:v>4126.9134513000008</c:v>
                </c:pt>
                <c:pt idx="189">
                  <c:v>4161.4706377000011</c:v>
                </c:pt>
                <c:pt idx="190">
                  <c:v>3984.0050302000004</c:v>
                </c:pt>
                <c:pt idx="191">
                  <c:v>4133.7889562</c:v>
                </c:pt>
                <c:pt idx="192">
                  <c:v>3923.1901405000003</c:v>
                </c:pt>
                <c:pt idx="193">
                  <c:v>3935.6921136000005</c:v>
                </c:pt>
                <c:pt idx="194">
                  <c:v>3935.6921136000005</c:v>
                </c:pt>
                <c:pt idx="195">
                  <c:v>3795.5908441000006</c:v>
                </c:pt>
                <c:pt idx="196">
                  <c:v>3794.1599591000008</c:v>
                </c:pt>
                <c:pt idx="197">
                  <c:v>3865.5011449999993</c:v>
                </c:pt>
                <c:pt idx="198">
                  <c:v>3959.0688449999998</c:v>
                </c:pt>
                <c:pt idx="199">
                  <c:v>3791.2885449999999</c:v>
                </c:pt>
                <c:pt idx="200">
                  <c:v>3724.4400046999999</c:v>
                </c:pt>
                <c:pt idx="201">
                  <c:v>3710.0971311000008</c:v>
                </c:pt>
                <c:pt idx="202">
                  <c:v>3550.3507739999991</c:v>
                </c:pt>
                <c:pt idx="203">
                  <c:v>3423.1544740000004</c:v>
                </c:pt>
                <c:pt idx="204">
                  <c:v>3433.9772050000001</c:v>
                </c:pt>
                <c:pt idx="205">
                  <c:v>3518.4473050000011</c:v>
                </c:pt>
                <c:pt idx="206">
                  <c:v>3598.4904050000005</c:v>
                </c:pt>
                <c:pt idx="207">
                  <c:v>3765.2322933000014</c:v>
                </c:pt>
                <c:pt idx="208">
                  <c:v>3684.1935998000013</c:v>
                </c:pt>
                <c:pt idx="209">
                  <c:v>3661.703115400001</c:v>
                </c:pt>
                <c:pt idx="210">
                  <c:v>3720.9744361000003</c:v>
                </c:pt>
                <c:pt idx="211">
                  <c:v>3698.6580483000012</c:v>
                </c:pt>
                <c:pt idx="212">
                  <c:v>3846.7272338000012</c:v>
                </c:pt>
                <c:pt idx="213">
                  <c:v>3693.9073529999996</c:v>
                </c:pt>
                <c:pt idx="214">
                  <c:v>3719.7162134</c:v>
                </c:pt>
                <c:pt idx="215">
                  <c:v>3884.3313253000006</c:v>
                </c:pt>
                <c:pt idx="216">
                  <c:v>3888.8244915000005</c:v>
                </c:pt>
                <c:pt idx="217">
                  <c:v>3997.9878750000003</c:v>
                </c:pt>
                <c:pt idx="218">
                  <c:v>3895.5321749999998</c:v>
                </c:pt>
                <c:pt idx="219">
                  <c:v>3975.5734749999992</c:v>
                </c:pt>
                <c:pt idx="220">
                  <c:v>3975.5734749999992</c:v>
                </c:pt>
                <c:pt idx="221">
                  <c:v>3994.4202749999999</c:v>
                </c:pt>
                <c:pt idx="222">
                  <c:v>4096.6214668999992</c:v>
                </c:pt>
                <c:pt idx="223">
                  <c:v>3937.8281250000005</c:v>
                </c:pt>
                <c:pt idx="224">
                  <c:v>4084.944625000001</c:v>
                </c:pt>
                <c:pt idx="225">
                  <c:v>4163.0326249999998</c:v>
                </c:pt>
                <c:pt idx="226">
                  <c:v>4341.8032690000009</c:v>
                </c:pt>
                <c:pt idx="227">
                  <c:v>4184.0102690000003</c:v>
                </c:pt>
                <c:pt idx="228">
                  <c:v>4345.821418999999</c:v>
                </c:pt>
                <c:pt idx="229">
                  <c:v>4446.2487190000002</c:v>
                </c:pt>
                <c:pt idx="230">
                  <c:v>4383.7953324999999</c:v>
                </c:pt>
                <c:pt idx="231">
                  <c:v>4267.6793833999991</c:v>
                </c:pt>
                <c:pt idx="232">
                  <c:v>4117.4874200000004</c:v>
                </c:pt>
                <c:pt idx="233">
                  <c:v>4235.566108</c:v>
                </c:pt>
                <c:pt idx="234">
                  <c:v>4213.4237207999995</c:v>
                </c:pt>
                <c:pt idx="235">
                  <c:v>4249.0075051999993</c:v>
                </c:pt>
                <c:pt idx="236">
                  <c:v>4195.8921829999999</c:v>
                </c:pt>
                <c:pt idx="237">
                  <c:v>4248.9999853000008</c:v>
                </c:pt>
                <c:pt idx="238">
                  <c:v>4307.2507859999996</c:v>
                </c:pt>
                <c:pt idx="239">
                  <c:v>4354.7991860000011</c:v>
                </c:pt>
                <c:pt idx="240">
                  <c:v>4328.3594119999998</c:v>
                </c:pt>
                <c:pt idx="241">
                  <c:v>4257.5937119999999</c:v>
                </c:pt>
                <c:pt idx="242">
                  <c:v>4203.0130688999989</c:v>
                </c:pt>
                <c:pt idx="243">
                  <c:v>4300.9528040000005</c:v>
                </c:pt>
                <c:pt idx="244">
                  <c:v>4397.7037980000005</c:v>
                </c:pt>
                <c:pt idx="245">
                  <c:v>4522.5832387999981</c:v>
                </c:pt>
                <c:pt idx="246">
                  <c:v>4340.7838120000006</c:v>
                </c:pt>
                <c:pt idx="247">
                  <c:v>4399.0575440000002</c:v>
                </c:pt>
                <c:pt idx="248">
                  <c:v>4515.154005100002</c:v>
                </c:pt>
                <c:pt idx="249">
                  <c:v>4837.7183473000014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14-4314-8DE4-6EEF551940E5}"/>
            </c:ext>
          </c:extLst>
        </c:ser>
        <c:ser>
          <c:idx val="3"/>
          <c:order val="3"/>
          <c:tx>
            <c:strRef>
              <c:f>'WH Occu. trend Analysis'!$R$599</c:f>
              <c:strCache>
                <c:ptCount val="1"/>
                <c:pt idx="0">
                  <c:v>Peliyagoda DC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'WH Occu. trend Analysis'!$N$600:$N$850</c:f>
              <c:strCache>
                <c:ptCount val="250"/>
                <c:pt idx="0">
                  <c:v>7/4/2022</c:v>
                </c:pt>
                <c:pt idx="1">
                  <c:v>7/5/2022</c:v>
                </c:pt>
                <c:pt idx="2">
                  <c:v>7/6/2022</c:v>
                </c:pt>
                <c:pt idx="3">
                  <c:v>7/7/2022</c:v>
                </c:pt>
                <c:pt idx="4">
                  <c:v>7/8/2022</c:v>
                </c:pt>
                <c:pt idx="5">
                  <c:v>7/11/2022</c:v>
                </c:pt>
                <c:pt idx="6">
                  <c:v>7/12/2022</c:v>
                </c:pt>
                <c:pt idx="7">
                  <c:v>7/14/2022</c:v>
                </c:pt>
                <c:pt idx="8">
                  <c:v>7/15/2022</c:v>
                </c:pt>
                <c:pt idx="9">
                  <c:v>7/18/2022</c:v>
                </c:pt>
                <c:pt idx="10">
                  <c:v>7/19/2022</c:v>
                </c:pt>
                <c:pt idx="11">
                  <c:v>7/20/2022</c:v>
                </c:pt>
                <c:pt idx="12">
                  <c:v>7/21/2022</c:v>
                </c:pt>
                <c:pt idx="13">
                  <c:v>7/22/2022</c:v>
                </c:pt>
                <c:pt idx="14">
                  <c:v>7/25/2022</c:v>
                </c:pt>
                <c:pt idx="15">
                  <c:v>7/26/2022</c:v>
                </c:pt>
                <c:pt idx="16">
                  <c:v>7/27/2022</c:v>
                </c:pt>
                <c:pt idx="17">
                  <c:v>7/28/2022</c:v>
                </c:pt>
                <c:pt idx="18">
                  <c:v>7/29/2022</c:v>
                </c:pt>
                <c:pt idx="19">
                  <c:v>8/1/2022</c:v>
                </c:pt>
                <c:pt idx="20">
                  <c:v>8/2/2022</c:v>
                </c:pt>
                <c:pt idx="21">
                  <c:v>8/3/2022</c:v>
                </c:pt>
                <c:pt idx="22">
                  <c:v>8/4/2022</c:v>
                </c:pt>
                <c:pt idx="23">
                  <c:v>8/5/2022</c:v>
                </c:pt>
                <c:pt idx="24">
                  <c:v>8/8/2022</c:v>
                </c:pt>
                <c:pt idx="25">
                  <c:v>8/9/2022</c:v>
                </c:pt>
                <c:pt idx="26">
                  <c:v>8/10/2022</c:v>
                </c:pt>
                <c:pt idx="27">
                  <c:v>8/15/2022</c:v>
                </c:pt>
                <c:pt idx="28">
                  <c:v>8/16/2022</c:v>
                </c:pt>
                <c:pt idx="29">
                  <c:v>8/17/2022</c:v>
                </c:pt>
                <c:pt idx="30">
                  <c:v>8/18/2022</c:v>
                </c:pt>
                <c:pt idx="31">
                  <c:v>8/19/2022</c:v>
                </c:pt>
                <c:pt idx="32">
                  <c:v>8/22/2022</c:v>
                </c:pt>
                <c:pt idx="33">
                  <c:v>8/23/2022</c:v>
                </c:pt>
                <c:pt idx="34">
                  <c:v>8/24/2022</c:v>
                </c:pt>
                <c:pt idx="35">
                  <c:v>8/25/2022</c:v>
                </c:pt>
                <c:pt idx="36">
                  <c:v>8/26/2022</c:v>
                </c:pt>
                <c:pt idx="37">
                  <c:v>8/29/2022</c:v>
                </c:pt>
                <c:pt idx="38">
                  <c:v>8/30/2022</c:v>
                </c:pt>
                <c:pt idx="39">
                  <c:v>8/31/2022</c:v>
                </c:pt>
                <c:pt idx="40">
                  <c:v>9/1/2022</c:v>
                </c:pt>
                <c:pt idx="41">
                  <c:v>9/2/2022</c:v>
                </c:pt>
                <c:pt idx="42">
                  <c:v>9/5/2022</c:v>
                </c:pt>
                <c:pt idx="43">
                  <c:v>9/6/2022</c:v>
                </c:pt>
                <c:pt idx="44">
                  <c:v>9/7/2022</c:v>
                </c:pt>
                <c:pt idx="45">
                  <c:v>9/9/2022</c:v>
                </c:pt>
                <c:pt idx="46">
                  <c:v>9/13/2022</c:v>
                </c:pt>
                <c:pt idx="47">
                  <c:v>9/14/2022</c:v>
                </c:pt>
                <c:pt idx="48">
                  <c:v>9/15/2022</c:v>
                </c:pt>
                <c:pt idx="49">
                  <c:v>9/16/2022</c:v>
                </c:pt>
                <c:pt idx="50">
                  <c:v>9/19/2022</c:v>
                </c:pt>
                <c:pt idx="51">
                  <c:v>9/20/2022</c:v>
                </c:pt>
                <c:pt idx="52">
                  <c:v>9/21/2022</c:v>
                </c:pt>
                <c:pt idx="53">
                  <c:v>9/22/2022</c:v>
                </c:pt>
                <c:pt idx="54">
                  <c:v>9/23/2022</c:v>
                </c:pt>
                <c:pt idx="55">
                  <c:v>9/26/2022</c:v>
                </c:pt>
                <c:pt idx="56">
                  <c:v>9/27/2022</c:v>
                </c:pt>
                <c:pt idx="57">
                  <c:v>9/28/2022</c:v>
                </c:pt>
                <c:pt idx="58">
                  <c:v>9/29/2022</c:v>
                </c:pt>
                <c:pt idx="59">
                  <c:v>9/30/2022</c:v>
                </c:pt>
                <c:pt idx="60">
                  <c:v>10/3/2022</c:v>
                </c:pt>
                <c:pt idx="61">
                  <c:v>10/4/2022</c:v>
                </c:pt>
                <c:pt idx="62">
                  <c:v>10/5/2022</c:v>
                </c:pt>
                <c:pt idx="63">
                  <c:v>10/6/2022</c:v>
                </c:pt>
                <c:pt idx="64">
                  <c:v>10/7/2022</c:v>
                </c:pt>
                <c:pt idx="65">
                  <c:v>10/10/2022</c:v>
                </c:pt>
                <c:pt idx="66">
                  <c:v>10/11/2022</c:v>
                </c:pt>
                <c:pt idx="67">
                  <c:v>10/12/2022</c:v>
                </c:pt>
                <c:pt idx="68">
                  <c:v>10/13/2022</c:v>
                </c:pt>
                <c:pt idx="69">
                  <c:v>10/14/2022</c:v>
                </c:pt>
                <c:pt idx="70">
                  <c:v>10/17/2022</c:v>
                </c:pt>
                <c:pt idx="71">
                  <c:v>10/18/2022</c:v>
                </c:pt>
                <c:pt idx="72">
                  <c:v>10/19/2022</c:v>
                </c:pt>
                <c:pt idx="73">
                  <c:v>10/20/2022</c:v>
                </c:pt>
                <c:pt idx="74">
                  <c:v>10/21/2022</c:v>
                </c:pt>
                <c:pt idx="75">
                  <c:v>10/24/2022</c:v>
                </c:pt>
                <c:pt idx="76">
                  <c:v>10/25/2022</c:v>
                </c:pt>
                <c:pt idx="77">
                  <c:v>10/26/2022</c:v>
                </c:pt>
                <c:pt idx="78">
                  <c:v>10/27/2022</c:v>
                </c:pt>
                <c:pt idx="79">
                  <c:v>10/28/2022</c:v>
                </c:pt>
                <c:pt idx="80">
                  <c:v>10/31/2022</c:v>
                </c:pt>
                <c:pt idx="81">
                  <c:v>11/1/2022</c:v>
                </c:pt>
                <c:pt idx="82">
                  <c:v>11/2/2022</c:v>
                </c:pt>
                <c:pt idx="83">
                  <c:v>11/3/2022</c:v>
                </c:pt>
                <c:pt idx="84">
                  <c:v>11/4/2022</c:v>
                </c:pt>
                <c:pt idx="85">
                  <c:v>11/8/2022</c:v>
                </c:pt>
                <c:pt idx="86">
                  <c:v>11/9/2022</c:v>
                </c:pt>
                <c:pt idx="87">
                  <c:v>11/10/2022</c:v>
                </c:pt>
                <c:pt idx="88">
                  <c:v>11/11/2022</c:v>
                </c:pt>
                <c:pt idx="89">
                  <c:v>11/15/2022</c:v>
                </c:pt>
                <c:pt idx="90">
                  <c:v>11/16/2022</c:v>
                </c:pt>
                <c:pt idx="91">
                  <c:v>11/17/2022</c:v>
                </c:pt>
                <c:pt idx="92">
                  <c:v>11/18/2022</c:v>
                </c:pt>
                <c:pt idx="93">
                  <c:v>11/21/2022</c:v>
                </c:pt>
                <c:pt idx="94">
                  <c:v>11/22/2022</c:v>
                </c:pt>
                <c:pt idx="95">
                  <c:v>11/23/2022</c:v>
                </c:pt>
                <c:pt idx="96">
                  <c:v>11/24/2022</c:v>
                </c:pt>
                <c:pt idx="97">
                  <c:v>11/25/2022</c:v>
                </c:pt>
                <c:pt idx="98">
                  <c:v>11/28/2022</c:v>
                </c:pt>
                <c:pt idx="99">
                  <c:v>11/30/2022</c:v>
                </c:pt>
                <c:pt idx="100">
                  <c:v>12/1/2022</c:v>
                </c:pt>
                <c:pt idx="101">
                  <c:v>12/2/2022</c:v>
                </c:pt>
                <c:pt idx="102">
                  <c:v>12/5/2022</c:v>
                </c:pt>
                <c:pt idx="103">
                  <c:v>12/6/2022</c:v>
                </c:pt>
                <c:pt idx="104">
                  <c:v>12/8/2022</c:v>
                </c:pt>
                <c:pt idx="105">
                  <c:v>12/9/2022</c:v>
                </c:pt>
                <c:pt idx="106">
                  <c:v>12/12/2022</c:v>
                </c:pt>
                <c:pt idx="107">
                  <c:v>12/13/2022</c:v>
                </c:pt>
                <c:pt idx="108">
                  <c:v>12/14/2022</c:v>
                </c:pt>
                <c:pt idx="109">
                  <c:v>12/15/2022</c:v>
                </c:pt>
                <c:pt idx="110">
                  <c:v>12/16/2022</c:v>
                </c:pt>
                <c:pt idx="111">
                  <c:v>12/19/2022</c:v>
                </c:pt>
                <c:pt idx="112">
                  <c:v>12/20/2022</c:v>
                </c:pt>
                <c:pt idx="113">
                  <c:v>12/22/2022</c:v>
                </c:pt>
                <c:pt idx="114">
                  <c:v>12/23/2022</c:v>
                </c:pt>
                <c:pt idx="115">
                  <c:v>12/27/2022</c:v>
                </c:pt>
                <c:pt idx="116">
                  <c:v>12/28/2022</c:v>
                </c:pt>
                <c:pt idx="117">
                  <c:v>12/29/2022</c:v>
                </c:pt>
                <c:pt idx="118">
                  <c:v>12/30/2022</c:v>
                </c:pt>
                <c:pt idx="119">
                  <c:v>1/2/2023</c:v>
                </c:pt>
                <c:pt idx="120">
                  <c:v>1/3/2023</c:v>
                </c:pt>
                <c:pt idx="121">
                  <c:v>1/4/2023</c:v>
                </c:pt>
                <c:pt idx="122">
                  <c:v>1/5/2023</c:v>
                </c:pt>
                <c:pt idx="123">
                  <c:v>1/9/2023</c:v>
                </c:pt>
                <c:pt idx="124">
                  <c:v>1/10/2023</c:v>
                </c:pt>
                <c:pt idx="125">
                  <c:v>1/11/2023</c:v>
                </c:pt>
                <c:pt idx="126">
                  <c:v>1/12/2023</c:v>
                </c:pt>
                <c:pt idx="127">
                  <c:v>1/13/2023</c:v>
                </c:pt>
                <c:pt idx="128">
                  <c:v>1/16/2023</c:v>
                </c:pt>
                <c:pt idx="129">
                  <c:v>1/17/2023</c:v>
                </c:pt>
                <c:pt idx="130">
                  <c:v>1/18/2023</c:v>
                </c:pt>
                <c:pt idx="131">
                  <c:v>1/19/2023</c:v>
                </c:pt>
                <c:pt idx="132">
                  <c:v>1/20/2023</c:v>
                </c:pt>
                <c:pt idx="133">
                  <c:v>1/23/2023</c:v>
                </c:pt>
                <c:pt idx="134">
                  <c:v>1/24/2023</c:v>
                </c:pt>
                <c:pt idx="135">
                  <c:v>1/25/2023</c:v>
                </c:pt>
                <c:pt idx="136">
                  <c:v>1/26/2023</c:v>
                </c:pt>
                <c:pt idx="137">
                  <c:v>1/27/2023</c:v>
                </c:pt>
                <c:pt idx="138">
                  <c:v>1/30/2023</c:v>
                </c:pt>
                <c:pt idx="139">
                  <c:v>1/31/2023</c:v>
                </c:pt>
                <c:pt idx="140">
                  <c:v>2/1/2023</c:v>
                </c:pt>
                <c:pt idx="141">
                  <c:v>2/2/2023</c:v>
                </c:pt>
                <c:pt idx="142">
                  <c:v>2/3/2023</c:v>
                </c:pt>
                <c:pt idx="143">
                  <c:v>2/6/2023</c:v>
                </c:pt>
                <c:pt idx="144">
                  <c:v>2/7/2023</c:v>
                </c:pt>
                <c:pt idx="145">
                  <c:v>2/8/2023</c:v>
                </c:pt>
                <c:pt idx="146">
                  <c:v>2/9/2023</c:v>
                </c:pt>
                <c:pt idx="147">
                  <c:v>2/10/2023</c:v>
                </c:pt>
                <c:pt idx="148">
                  <c:v>2/13/2023</c:v>
                </c:pt>
                <c:pt idx="149">
                  <c:v>2/14/2023</c:v>
                </c:pt>
                <c:pt idx="150">
                  <c:v>2/15/2023</c:v>
                </c:pt>
                <c:pt idx="151">
                  <c:v>2/16/2023</c:v>
                </c:pt>
                <c:pt idx="152">
                  <c:v>2/17/2023</c:v>
                </c:pt>
                <c:pt idx="153">
                  <c:v>2/20/2023</c:v>
                </c:pt>
                <c:pt idx="154">
                  <c:v>2/21/2023</c:v>
                </c:pt>
                <c:pt idx="155">
                  <c:v>2/22/2023</c:v>
                </c:pt>
                <c:pt idx="156">
                  <c:v>2/23/2023</c:v>
                </c:pt>
                <c:pt idx="157">
                  <c:v>2/24/2023</c:v>
                </c:pt>
                <c:pt idx="158">
                  <c:v>2/27/2023</c:v>
                </c:pt>
                <c:pt idx="159">
                  <c:v>2/28/2023</c:v>
                </c:pt>
                <c:pt idx="160">
                  <c:v>3/1/2023</c:v>
                </c:pt>
                <c:pt idx="161">
                  <c:v>3/2/2023</c:v>
                </c:pt>
                <c:pt idx="162">
                  <c:v>3/3/2023</c:v>
                </c:pt>
                <c:pt idx="163">
                  <c:v>3/7/2023</c:v>
                </c:pt>
                <c:pt idx="164">
                  <c:v>3/8/2023</c:v>
                </c:pt>
                <c:pt idx="165">
                  <c:v>3/9/2023</c:v>
                </c:pt>
                <c:pt idx="166">
                  <c:v>3/10/2023</c:v>
                </c:pt>
                <c:pt idx="167">
                  <c:v>3/13/2023</c:v>
                </c:pt>
                <c:pt idx="168">
                  <c:v>3/14/2023</c:v>
                </c:pt>
                <c:pt idx="169">
                  <c:v>3/15/2023</c:v>
                </c:pt>
                <c:pt idx="170">
                  <c:v>3/16/2023</c:v>
                </c:pt>
                <c:pt idx="171">
                  <c:v>3/17/2023</c:v>
                </c:pt>
                <c:pt idx="172">
                  <c:v>3/20/2023</c:v>
                </c:pt>
                <c:pt idx="173">
                  <c:v>3/21/2023</c:v>
                </c:pt>
                <c:pt idx="174">
                  <c:v>3/22/2023</c:v>
                </c:pt>
                <c:pt idx="175">
                  <c:v>3/23/2023</c:v>
                </c:pt>
                <c:pt idx="176">
                  <c:v>3/24/2023</c:v>
                </c:pt>
                <c:pt idx="177">
                  <c:v>3/27/2023</c:v>
                </c:pt>
                <c:pt idx="178">
                  <c:v>3/28/2023</c:v>
                </c:pt>
                <c:pt idx="179">
                  <c:v>3/29/2023</c:v>
                </c:pt>
                <c:pt idx="180">
                  <c:v>3/30/2023</c:v>
                </c:pt>
                <c:pt idx="181">
                  <c:v>3/31/2023</c:v>
                </c:pt>
                <c:pt idx="182">
                  <c:v>4/3/2023</c:v>
                </c:pt>
                <c:pt idx="183">
                  <c:v>4/4/2023</c:v>
                </c:pt>
                <c:pt idx="184">
                  <c:v>4/6/2023</c:v>
                </c:pt>
                <c:pt idx="185">
                  <c:v>4/7/2023</c:v>
                </c:pt>
                <c:pt idx="186">
                  <c:v>4/10/2023</c:v>
                </c:pt>
                <c:pt idx="187">
                  <c:v>4/17/2023</c:v>
                </c:pt>
                <c:pt idx="188">
                  <c:v>4/18/2023</c:v>
                </c:pt>
                <c:pt idx="189">
                  <c:v>4/19/2023</c:v>
                </c:pt>
                <c:pt idx="190">
                  <c:v>4/20/2023</c:v>
                </c:pt>
                <c:pt idx="191">
                  <c:v>4/21/2023</c:v>
                </c:pt>
                <c:pt idx="192">
                  <c:v>4/24/2023</c:v>
                </c:pt>
                <c:pt idx="193">
                  <c:v>4/25/2023</c:v>
                </c:pt>
                <c:pt idx="194">
                  <c:v>4/26/2023</c:v>
                </c:pt>
                <c:pt idx="195">
                  <c:v>4/27/2023</c:v>
                </c:pt>
                <c:pt idx="196">
                  <c:v>4/28/2023</c:v>
                </c:pt>
                <c:pt idx="197">
                  <c:v>5/2/2023</c:v>
                </c:pt>
                <c:pt idx="198">
                  <c:v>5/3/2023</c:v>
                </c:pt>
                <c:pt idx="199">
                  <c:v>5/4/2023</c:v>
                </c:pt>
                <c:pt idx="200">
                  <c:v>5/8/2023</c:v>
                </c:pt>
                <c:pt idx="201">
                  <c:v>5/9/2023</c:v>
                </c:pt>
                <c:pt idx="202">
                  <c:v>5/10/2023</c:v>
                </c:pt>
                <c:pt idx="203">
                  <c:v>5/11/2023</c:v>
                </c:pt>
                <c:pt idx="204">
                  <c:v>5/12/2023</c:v>
                </c:pt>
                <c:pt idx="205">
                  <c:v>5/15/2023</c:v>
                </c:pt>
                <c:pt idx="206">
                  <c:v>5/16/2023</c:v>
                </c:pt>
                <c:pt idx="207">
                  <c:v>5/17/2023</c:v>
                </c:pt>
                <c:pt idx="208">
                  <c:v>5/18/2023</c:v>
                </c:pt>
                <c:pt idx="209">
                  <c:v>5/19/2023</c:v>
                </c:pt>
                <c:pt idx="210">
                  <c:v>5/22/2023</c:v>
                </c:pt>
                <c:pt idx="211">
                  <c:v>5/23/2023</c:v>
                </c:pt>
                <c:pt idx="212">
                  <c:v>5/24/2023</c:v>
                </c:pt>
                <c:pt idx="213">
                  <c:v>5/25/2023</c:v>
                </c:pt>
                <c:pt idx="214">
                  <c:v>5/26/2023</c:v>
                </c:pt>
                <c:pt idx="215">
                  <c:v>5/29/2023</c:v>
                </c:pt>
                <c:pt idx="216">
                  <c:v>5/30/2023</c:v>
                </c:pt>
                <c:pt idx="217">
                  <c:v>5/31/2023</c:v>
                </c:pt>
                <c:pt idx="218">
                  <c:v>6/1/2023</c:v>
                </c:pt>
                <c:pt idx="219">
                  <c:v>6/2/2023</c:v>
                </c:pt>
                <c:pt idx="220">
                  <c:v>6/5/2023</c:v>
                </c:pt>
                <c:pt idx="221">
                  <c:v>6/6/2023</c:v>
                </c:pt>
                <c:pt idx="222">
                  <c:v>6/7/2023</c:v>
                </c:pt>
                <c:pt idx="223">
                  <c:v>6/8/2023</c:v>
                </c:pt>
                <c:pt idx="224">
                  <c:v>6/9/2023</c:v>
                </c:pt>
                <c:pt idx="225">
                  <c:v>6/12/2023</c:v>
                </c:pt>
                <c:pt idx="226">
                  <c:v>6/14/2023</c:v>
                </c:pt>
                <c:pt idx="227">
                  <c:v>6/15/2023</c:v>
                </c:pt>
                <c:pt idx="228">
                  <c:v>6/16/2023</c:v>
                </c:pt>
                <c:pt idx="229">
                  <c:v>6/19/2023</c:v>
                </c:pt>
                <c:pt idx="230">
                  <c:v>6/20/2023</c:v>
                </c:pt>
                <c:pt idx="231">
                  <c:v>6/21/2023</c:v>
                </c:pt>
                <c:pt idx="232">
                  <c:v>6/22/2023</c:v>
                </c:pt>
                <c:pt idx="233">
                  <c:v>6/23/2023</c:v>
                </c:pt>
                <c:pt idx="234">
                  <c:v>6/26/2023</c:v>
                </c:pt>
                <c:pt idx="235">
                  <c:v>6/27/2023</c:v>
                </c:pt>
                <c:pt idx="236">
                  <c:v>6/28/2023</c:v>
                </c:pt>
                <c:pt idx="237">
                  <c:v>6/29/2023</c:v>
                </c:pt>
                <c:pt idx="238">
                  <c:v>6/30/2023</c:v>
                </c:pt>
                <c:pt idx="239">
                  <c:v>7/4/2023</c:v>
                </c:pt>
                <c:pt idx="240">
                  <c:v>7/5/2023</c:v>
                </c:pt>
                <c:pt idx="241">
                  <c:v>7/6/2023</c:v>
                </c:pt>
                <c:pt idx="242">
                  <c:v>7/7/2023</c:v>
                </c:pt>
                <c:pt idx="243">
                  <c:v>7/10/2023</c:v>
                </c:pt>
                <c:pt idx="244">
                  <c:v>7/11/2023</c:v>
                </c:pt>
                <c:pt idx="245">
                  <c:v>7/12/2023</c:v>
                </c:pt>
                <c:pt idx="246">
                  <c:v>7/13/2023</c:v>
                </c:pt>
                <c:pt idx="247">
                  <c:v>7/14/2023</c:v>
                </c:pt>
                <c:pt idx="248">
                  <c:v>7/17/2023</c:v>
                </c:pt>
                <c:pt idx="249">
                  <c:v>7/21/2023</c:v>
                </c:pt>
              </c:strCache>
            </c:strRef>
          </c:cat>
          <c:val>
            <c:numRef>
              <c:f>'WH Occu. trend Analysis'!$R$600:$R$850</c:f>
              <c:numCache>
                <c:formatCode>General</c:formatCode>
                <c:ptCount val="250"/>
                <c:pt idx="0">
                  <c:v>9503.8731999999982</c:v>
                </c:pt>
                <c:pt idx="1">
                  <c:v>9379.0812000000005</c:v>
                </c:pt>
                <c:pt idx="2">
                  <c:v>9379.0812000000005</c:v>
                </c:pt>
                <c:pt idx="3">
                  <c:v>9247.1641999999993</c:v>
                </c:pt>
                <c:pt idx="4">
                  <c:v>9332.738199999998</c:v>
                </c:pt>
                <c:pt idx="5">
                  <c:v>9247.1641999999993</c:v>
                </c:pt>
                <c:pt idx="6">
                  <c:v>8638.7540000000008</c:v>
                </c:pt>
                <c:pt idx="7">
                  <c:v>8822.2498999999989</c:v>
                </c:pt>
                <c:pt idx="8">
                  <c:v>8747.313900000001</c:v>
                </c:pt>
                <c:pt idx="9">
                  <c:v>8845.7389999999996</c:v>
                </c:pt>
                <c:pt idx="10">
                  <c:v>8951.9709999999995</c:v>
                </c:pt>
                <c:pt idx="11">
                  <c:v>9205.273900000002</c:v>
                </c:pt>
                <c:pt idx="12">
                  <c:v>9292.0298999999995</c:v>
                </c:pt>
                <c:pt idx="13">
                  <c:v>9225.4868999999981</c:v>
                </c:pt>
                <c:pt idx="14">
                  <c:v>8825.905999999999</c:v>
                </c:pt>
                <c:pt idx="15">
                  <c:v>8417.764000000001</c:v>
                </c:pt>
                <c:pt idx="16">
                  <c:v>8731</c:v>
                </c:pt>
                <c:pt idx="17">
                  <c:v>8765.8670000000002</c:v>
                </c:pt>
                <c:pt idx="18">
                  <c:v>8821.0709000000006</c:v>
                </c:pt>
                <c:pt idx="19">
                  <c:v>8678.4890000000014</c:v>
                </c:pt>
                <c:pt idx="20">
                  <c:v>8707.3169999999991</c:v>
                </c:pt>
                <c:pt idx="21">
                  <c:v>8733.2560000000012</c:v>
                </c:pt>
                <c:pt idx="22">
                  <c:v>8544.2345000000005</c:v>
                </c:pt>
                <c:pt idx="23">
                  <c:v>8493.2338999999993</c:v>
                </c:pt>
                <c:pt idx="24">
                  <c:v>8591.0430000000015</c:v>
                </c:pt>
                <c:pt idx="25">
                  <c:v>8759.0649999999987</c:v>
                </c:pt>
                <c:pt idx="26">
                  <c:v>8872.7168999999976</c:v>
                </c:pt>
                <c:pt idx="27">
                  <c:v>8998.7358999999997</c:v>
                </c:pt>
                <c:pt idx="28">
                  <c:v>9260.5608999999986</c:v>
                </c:pt>
                <c:pt idx="29">
                  <c:v>9197.7329000000009</c:v>
                </c:pt>
                <c:pt idx="30">
                  <c:v>9149.5169000000005</c:v>
                </c:pt>
                <c:pt idx="31">
                  <c:v>9179.9079000000002</c:v>
                </c:pt>
                <c:pt idx="32">
                  <c:v>9001.1018999999997</c:v>
                </c:pt>
                <c:pt idx="33">
                  <c:v>9265.0699000000004</c:v>
                </c:pt>
                <c:pt idx="34">
                  <c:v>9168.0228999999981</c:v>
                </c:pt>
                <c:pt idx="35">
                  <c:v>9052.6413999999986</c:v>
                </c:pt>
                <c:pt idx="36">
                  <c:v>9015</c:v>
                </c:pt>
                <c:pt idx="37">
                  <c:v>8891.5960000000014</c:v>
                </c:pt>
                <c:pt idx="38">
                  <c:v>8999.2820000000011</c:v>
                </c:pt>
                <c:pt idx="39">
                  <c:v>8849.8948999999975</c:v>
                </c:pt>
                <c:pt idx="40">
                  <c:v>8710.3989000000001</c:v>
                </c:pt>
                <c:pt idx="41">
                  <c:v>8999.2820000000011</c:v>
                </c:pt>
                <c:pt idx="42">
                  <c:v>8311.7839999999997</c:v>
                </c:pt>
                <c:pt idx="43">
                  <c:v>8442.2289999999994</c:v>
                </c:pt>
                <c:pt idx="44">
                  <c:v>8370.93</c:v>
                </c:pt>
                <c:pt idx="45">
                  <c:v>8379.2299000000003</c:v>
                </c:pt>
                <c:pt idx="46">
                  <c:v>8160</c:v>
                </c:pt>
                <c:pt idx="47">
                  <c:v>8223.6489000000001</c:v>
                </c:pt>
                <c:pt idx="48">
                  <c:v>8143.5540000000001</c:v>
                </c:pt>
                <c:pt idx="49">
                  <c:v>7926.1369000000004</c:v>
                </c:pt>
                <c:pt idx="50">
                  <c:v>7592.2008999999998</c:v>
                </c:pt>
                <c:pt idx="51">
                  <c:v>7742.7568999999994</c:v>
                </c:pt>
                <c:pt idx="52">
                  <c:v>7635.6089999999995</c:v>
                </c:pt>
                <c:pt idx="53">
                  <c:v>7694.861899999999</c:v>
                </c:pt>
                <c:pt idx="54">
                  <c:v>7623</c:v>
                </c:pt>
                <c:pt idx="55">
                  <c:v>7278.4129000000003</c:v>
                </c:pt>
                <c:pt idx="56">
                  <c:v>7424</c:v>
                </c:pt>
                <c:pt idx="57">
                  <c:v>7310</c:v>
                </c:pt>
                <c:pt idx="58">
                  <c:v>7325</c:v>
                </c:pt>
                <c:pt idx="59">
                  <c:v>7226</c:v>
                </c:pt>
                <c:pt idx="60">
                  <c:v>7217</c:v>
                </c:pt>
                <c:pt idx="61">
                  <c:v>7417.5608999999995</c:v>
                </c:pt>
                <c:pt idx="62">
                  <c:v>7435</c:v>
                </c:pt>
                <c:pt idx="63">
                  <c:v>7307</c:v>
                </c:pt>
                <c:pt idx="64">
                  <c:v>7269</c:v>
                </c:pt>
                <c:pt idx="65">
                  <c:v>7058</c:v>
                </c:pt>
                <c:pt idx="66">
                  <c:v>7406</c:v>
                </c:pt>
                <c:pt idx="67">
                  <c:v>7489</c:v>
                </c:pt>
                <c:pt idx="68">
                  <c:v>7549</c:v>
                </c:pt>
                <c:pt idx="69">
                  <c:v>7367</c:v>
                </c:pt>
                <c:pt idx="70">
                  <c:v>7098</c:v>
                </c:pt>
                <c:pt idx="71">
                  <c:v>7238</c:v>
                </c:pt>
                <c:pt idx="72">
                  <c:v>7114</c:v>
                </c:pt>
                <c:pt idx="73">
                  <c:v>7153</c:v>
                </c:pt>
                <c:pt idx="74">
                  <c:v>7062</c:v>
                </c:pt>
                <c:pt idx="75">
                  <c:v>6938</c:v>
                </c:pt>
                <c:pt idx="76">
                  <c:v>7209</c:v>
                </c:pt>
                <c:pt idx="77">
                  <c:v>7519</c:v>
                </c:pt>
                <c:pt idx="78">
                  <c:v>7752</c:v>
                </c:pt>
                <c:pt idx="79">
                  <c:v>7844</c:v>
                </c:pt>
                <c:pt idx="80">
                  <c:v>7910</c:v>
                </c:pt>
                <c:pt idx="81">
                  <c:v>8012</c:v>
                </c:pt>
                <c:pt idx="82">
                  <c:v>8109</c:v>
                </c:pt>
                <c:pt idx="83">
                  <c:v>8174</c:v>
                </c:pt>
                <c:pt idx="84">
                  <c:v>8129</c:v>
                </c:pt>
                <c:pt idx="85">
                  <c:v>7979</c:v>
                </c:pt>
                <c:pt idx="86">
                  <c:v>8089</c:v>
                </c:pt>
                <c:pt idx="87">
                  <c:v>8309</c:v>
                </c:pt>
                <c:pt idx="88">
                  <c:v>8449</c:v>
                </c:pt>
                <c:pt idx="89">
                  <c:v>8562</c:v>
                </c:pt>
                <c:pt idx="90">
                  <c:v>8676</c:v>
                </c:pt>
                <c:pt idx="91">
                  <c:v>8652</c:v>
                </c:pt>
                <c:pt idx="92">
                  <c:v>8770</c:v>
                </c:pt>
                <c:pt idx="93">
                  <c:v>8674</c:v>
                </c:pt>
                <c:pt idx="94">
                  <c:v>8774</c:v>
                </c:pt>
                <c:pt idx="95">
                  <c:v>8913</c:v>
                </c:pt>
                <c:pt idx="96">
                  <c:v>8914</c:v>
                </c:pt>
                <c:pt idx="97">
                  <c:v>8925</c:v>
                </c:pt>
                <c:pt idx="98">
                  <c:v>8441</c:v>
                </c:pt>
                <c:pt idx="99">
                  <c:v>8480</c:v>
                </c:pt>
                <c:pt idx="100">
                  <c:v>8528</c:v>
                </c:pt>
                <c:pt idx="101">
                  <c:v>8449</c:v>
                </c:pt>
                <c:pt idx="102">
                  <c:v>8097</c:v>
                </c:pt>
                <c:pt idx="103">
                  <c:v>8192</c:v>
                </c:pt>
                <c:pt idx="104">
                  <c:v>8199</c:v>
                </c:pt>
                <c:pt idx="105">
                  <c:v>8448</c:v>
                </c:pt>
                <c:pt idx="106">
                  <c:v>8076</c:v>
                </c:pt>
                <c:pt idx="107">
                  <c:v>8187</c:v>
                </c:pt>
                <c:pt idx="108">
                  <c:v>8306</c:v>
                </c:pt>
                <c:pt idx="109">
                  <c:v>8349</c:v>
                </c:pt>
                <c:pt idx="110">
                  <c:v>8261</c:v>
                </c:pt>
                <c:pt idx="111">
                  <c:v>8060</c:v>
                </c:pt>
                <c:pt idx="112">
                  <c:v>8078</c:v>
                </c:pt>
                <c:pt idx="113">
                  <c:v>8118</c:v>
                </c:pt>
                <c:pt idx="114">
                  <c:v>8168</c:v>
                </c:pt>
                <c:pt idx="115">
                  <c:v>8081</c:v>
                </c:pt>
                <c:pt idx="116">
                  <c:v>7997</c:v>
                </c:pt>
                <c:pt idx="117">
                  <c:v>7970</c:v>
                </c:pt>
                <c:pt idx="118">
                  <c:v>7868</c:v>
                </c:pt>
                <c:pt idx="119">
                  <c:v>7726</c:v>
                </c:pt>
                <c:pt idx="120">
                  <c:v>7726</c:v>
                </c:pt>
                <c:pt idx="121">
                  <c:v>8004</c:v>
                </c:pt>
                <c:pt idx="122">
                  <c:v>8026</c:v>
                </c:pt>
                <c:pt idx="123">
                  <c:v>7827</c:v>
                </c:pt>
                <c:pt idx="124">
                  <c:v>7917</c:v>
                </c:pt>
                <c:pt idx="125">
                  <c:v>8092</c:v>
                </c:pt>
                <c:pt idx="126">
                  <c:v>8102</c:v>
                </c:pt>
                <c:pt idx="127">
                  <c:v>8111</c:v>
                </c:pt>
                <c:pt idx="128">
                  <c:v>7918</c:v>
                </c:pt>
                <c:pt idx="129">
                  <c:v>8053</c:v>
                </c:pt>
                <c:pt idx="130">
                  <c:v>7842</c:v>
                </c:pt>
                <c:pt idx="131">
                  <c:v>7655</c:v>
                </c:pt>
                <c:pt idx="132">
                  <c:v>7638</c:v>
                </c:pt>
                <c:pt idx="133">
                  <c:v>7392.1948000000011</c:v>
                </c:pt>
                <c:pt idx="134">
                  <c:v>7546.1088999999993</c:v>
                </c:pt>
                <c:pt idx="135">
                  <c:v>7545.8979000000008</c:v>
                </c:pt>
                <c:pt idx="136">
                  <c:v>7674.9698000000026</c:v>
                </c:pt>
                <c:pt idx="137">
                  <c:v>7605.0029000000013</c:v>
                </c:pt>
                <c:pt idx="138">
                  <c:v>7476.8239000000003</c:v>
                </c:pt>
                <c:pt idx="139">
                  <c:v>7638.4749999999985</c:v>
                </c:pt>
                <c:pt idx="140">
                  <c:v>7645.3568999999989</c:v>
                </c:pt>
                <c:pt idx="141">
                  <c:v>7711.9098999999987</c:v>
                </c:pt>
                <c:pt idx="142">
                  <c:v>7793.9929000000011</c:v>
                </c:pt>
                <c:pt idx="143">
                  <c:v>7708.0339000000004</c:v>
                </c:pt>
                <c:pt idx="144">
                  <c:v>7716.3130000000001</c:v>
                </c:pt>
                <c:pt idx="145">
                  <c:v>7872.74</c:v>
                </c:pt>
                <c:pt idx="146">
                  <c:v>7981.5729999999967</c:v>
                </c:pt>
                <c:pt idx="147">
                  <c:v>7879.0160000000005</c:v>
                </c:pt>
                <c:pt idx="148">
                  <c:v>7483.6110000000008</c:v>
                </c:pt>
                <c:pt idx="149">
                  <c:v>7467.2239999999993</c:v>
                </c:pt>
                <c:pt idx="150">
                  <c:v>7442.2339999999995</c:v>
                </c:pt>
                <c:pt idx="151">
                  <c:v>7349.1009999999987</c:v>
                </c:pt>
                <c:pt idx="152">
                  <c:v>7438.690999999998</c:v>
                </c:pt>
                <c:pt idx="153">
                  <c:v>7398.5009</c:v>
                </c:pt>
                <c:pt idx="154">
                  <c:v>7479.4568999999992</c:v>
                </c:pt>
                <c:pt idx="155">
                  <c:v>7452.0968000000003</c:v>
                </c:pt>
                <c:pt idx="156">
                  <c:v>7452.0968000000003</c:v>
                </c:pt>
                <c:pt idx="157">
                  <c:v>7637.4959999999983</c:v>
                </c:pt>
                <c:pt idx="158">
                  <c:v>7613.4320000000007</c:v>
                </c:pt>
                <c:pt idx="159">
                  <c:v>7676.4140000000007</c:v>
                </c:pt>
                <c:pt idx="160">
                  <c:v>7718.137999999999</c:v>
                </c:pt>
                <c:pt idx="161">
                  <c:v>7796.1529</c:v>
                </c:pt>
                <c:pt idx="162">
                  <c:v>7807.3199999999988</c:v>
                </c:pt>
                <c:pt idx="163">
                  <c:v>7583.1818999999987</c:v>
                </c:pt>
                <c:pt idx="164">
                  <c:v>7719.8359000000009</c:v>
                </c:pt>
                <c:pt idx="165">
                  <c:v>7882.7160000000003</c:v>
                </c:pt>
                <c:pt idx="166">
                  <c:v>8017.4409999999989</c:v>
                </c:pt>
                <c:pt idx="167">
                  <c:v>8050.9228999999996</c:v>
                </c:pt>
                <c:pt idx="168">
                  <c:v>8149.6420000000007</c:v>
                </c:pt>
                <c:pt idx="169">
                  <c:v>8216.3379999999997</c:v>
                </c:pt>
                <c:pt idx="170">
                  <c:v>8283.1660000000011</c:v>
                </c:pt>
                <c:pt idx="171">
                  <c:v>8173.098</c:v>
                </c:pt>
                <c:pt idx="172">
                  <c:v>7888.1849000000002</c:v>
                </c:pt>
                <c:pt idx="173">
                  <c:v>7956.2650000000012</c:v>
                </c:pt>
                <c:pt idx="174">
                  <c:v>8115.9380000000019</c:v>
                </c:pt>
                <c:pt idx="175">
                  <c:v>8167.232</c:v>
                </c:pt>
                <c:pt idx="176">
                  <c:v>8226.2209999999995</c:v>
                </c:pt>
                <c:pt idx="177">
                  <c:v>7994.1130000000003</c:v>
                </c:pt>
                <c:pt idx="178">
                  <c:v>8152.79</c:v>
                </c:pt>
                <c:pt idx="179">
                  <c:v>8091.3782000000001</c:v>
                </c:pt>
                <c:pt idx="180">
                  <c:v>8066.8142000000007</c:v>
                </c:pt>
                <c:pt idx="181">
                  <c:v>7919.3842000000022</c:v>
                </c:pt>
                <c:pt idx="182">
                  <c:v>7706.6512000000002</c:v>
                </c:pt>
                <c:pt idx="183">
                  <c:v>7706.6512000000002</c:v>
                </c:pt>
                <c:pt idx="184">
                  <c:v>7633.2860999999984</c:v>
                </c:pt>
                <c:pt idx="185">
                  <c:v>7901.4241999999995</c:v>
                </c:pt>
                <c:pt idx="186">
                  <c:v>7792.0181999999986</c:v>
                </c:pt>
                <c:pt idx="187">
                  <c:v>7753.9221999999991</c:v>
                </c:pt>
                <c:pt idx="188">
                  <c:v>7760.3340999999991</c:v>
                </c:pt>
                <c:pt idx="189">
                  <c:v>7565.6200999999992</c:v>
                </c:pt>
                <c:pt idx="190">
                  <c:v>7446.3931000000002</c:v>
                </c:pt>
                <c:pt idx="191">
                  <c:v>7463.5690999999988</c:v>
                </c:pt>
                <c:pt idx="192">
                  <c:v>7126.588999999999</c:v>
                </c:pt>
                <c:pt idx="193">
                  <c:v>7134.4689000000008</c:v>
                </c:pt>
                <c:pt idx="194">
                  <c:v>7134.4689000000008</c:v>
                </c:pt>
                <c:pt idx="195">
                  <c:v>7020.6519000000008</c:v>
                </c:pt>
                <c:pt idx="196">
                  <c:v>6864.8429000000006</c:v>
                </c:pt>
                <c:pt idx="197">
                  <c:v>6533.7609000000002</c:v>
                </c:pt>
                <c:pt idx="198">
                  <c:v>6366.2148999999999</c:v>
                </c:pt>
                <c:pt idx="199">
                  <c:v>6186.6158999999998</c:v>
                </c:pt>
                <c:pt idx="200">
                  <c:v>6122.1318999999994</c:v>
                </c:pt>
                <c:pt idx="201">
                  <c:v>6138.3698999999997</c:v>
                </c:pt>
                <c:pt idx="202">
                  <c:v>6349.8379000000014</c:v>
                </c:pt>
                <c:pt idx="203">
                  <c:v>6431.5619000000006</c:v>
                </c:pt>
                <c:pt idx="204">
                  <c:v>6314.4908999999998</c:v>
                </c:pt>
                <c:pt idx="205">
                  <c:v>6061.8358999999991</c:v>
                </c:pt>
                <c:pt idx="206">
                  <c:v>6213.0959000000012</c:v>
                </c:pt>
                <c:pt idx="207">
                  <c:v>6369.5458999999992</c:v>
                </c:pt>
                <c:pt idx="208">
                  <c:v>6370.9488999999994</c:v>
                </c:pt>
                <c:pt idx="209">
                  <c:v>6364.7808999999997</c:v>
                </c:pt>
                <c:pt idx="210">
                  <c:v>6286.9960000000001</c:v>
                </c:pt>
                <c:pt idx="211">
                  <c:v>6635.3000999999995</c:v>
                </c:pt>
                <c:pt idx="212">
                  <c:v>6804.6451000000006</c:v>
                </c:pt>
                <c:pt idx="213">
                  <c:v>6952.4061000000011</c:v>
                </c:pt>
                <c:pt idx="214">
                  <c:v>7058.4020999999993</c:v>
                </c:pt>
                <c:pt idx="215">
                  <c:v>6951.8199000000004</c:v>
                </c:pt>
                <c:pt idx="216">
                  <c:v>7068.6099000000004</c:v>
                </c:pt>
                <c:pt idx="217">
                  <c:v>6978.1608999999999</c:v>
                </c:pt>
                <c:pt idx="218">
                  <c:v>6850.9069</c:v>
                </c:pt>
                <c:pt idx="219">
                  <c:v>6819.4758999999995</c:v>
                </c:pt>
                <c:pt idx="220">
                  <c:v>6819.4758999999995</c:v>
                </c:pt>
                <c:pt idx="221">
                  <c:v>6680.1239999999998</c:v>
                </c:pt>
                <c:pt idx="222">
                  <c:v>6797.3128999999999</c:v>
                </c:pt>
                <c:pt idx="223">
                  <c:v>6878.9378999999999</c:v>
                </c:pt>
                <c:pt idx="224">
                  <c:v>7064.4098999999997</c:v>
                </c:pt>
                <c:pt idx="225">
                  <c:v>6877.2708999999995</c:v>
                </c:pt>
                <c:pt idx="226">
                  <c:v>7199.5879999999997</c:v>
                </c:pt>
                <c:pt idx="227">
                  <c:v>7227.1890000000003</c:v>
                </c:pt>
                <c:pt idx="228">
                  <c:v>7265.634</c:v>
                </c:pt>
                <c:pt idx="229">
                  <c:v>7170.424</c:v>
                </c:pt>
                <c:pt idx="230">
                  <c:v>7295.2959999999994</c:v>
                </c:pt>
                <c:pt idx="231">
                  <c:v>7336.6338999999998</c:v>
                </c:pt>
                <c:pt idx="232">
                  <c:v>7324.9549999999999</c:v>
                </c:pt>
                <c:pt idx="233">
                  <c:v>7203.1260000000002</c:v>
                </c:pt>
                <c:pt idx="234">
                  <c:v>6563.09</c:v>
                </c:pt>
                <c:pt idx="235">
                  <c:v>6539.0549999999985</c:v>
                </c:pt>
                <c:pt idx="236">
                  <c:v>6675.7279999999992</c:v>
                </c:pt>
                <c:pt idx="237">
                  <c:v>6821.4139999999998</c:v>
                </c:pt>
                <c:pt idx="238">
                  <c:v>6940.8360000000002</c:v>
                </c:pt>
                <c:pt idx="239">
                  <c:v>6386.4809999999998</c:v>
                </c:pt>
                <c:pt idx="240">
                  <c:v>6605.2569999999996</c:v>
                </c:pt>
                <c:pt idx="241">
                  <c:v>6552.3009999999995</c:v>
                </c:pt>
                <c:pt idx="242">
                  <c:v>6628.7860000000001</c:v>
                </c:pt>
                <c:pt idx="243">
                  <c:v>6212.3218999999999</c:v>
                </c:pt>
                <c:pt idx="244">
                  <c:v>6306.2799000000005</c:v>
                </c:pt>
                <c:pt idx="245">
                  <c:v>6193.1949999999997</c:v>
                </c:pt>
                <c:pt idx="246">
                  <c:v>6275.4968999999992</c:v>
                </c:pt>
                <c:pt idx="247">
                  <c:v>6377.6389000000008</c:v>
                </c:pt>
                <c:pt idx="248">
                  <c:v>6018.3329000000012</c:v>
                </c:pt>
                <c:pt idx="249">
                  <c:v>6155.6408999999994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14-4314-8DE4-6EEF55194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83138864"/>
        <c:axId val="-783148656"/>
      </c:lineChart>
      <c:catAx>
        <c:axId val="-783138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83148656"/>
        <c:crosses val="autoZero"/>
        <c:auto val="1"/>
        <c:lblAlgn val="ctr"/>
        <c:lblOffset val="100"/>
        <c:noMultiLvlLbl val="0"/>
      </c:catAx>
      <c:valAx>
        <c:axId val="-783148656"/>
        <c:scaling>
          <c:orientation val="minMax"/>
          <c:min val="5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8313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[WH Occupancy Status (with Mercury plant).xlsx]100% Occupancy!PivotTable7</c:name>
    <c:fmtId val="137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>
                <a:effectLst/>
              </a:rPr>
              <a:t>DC Occupancy with Honeycomb  </a:t>
            </a:r>
            <a:endParaRPr lang="en-US" sz="1600">
              <a:effectLst/>
            </a:endParaRPr>
          </a:p>
        </c:rich>
      </c:tx>
      <c:layout>
        <c:manualLayout>
          <c:xMode val="edge"/>
          <c:yMode val="edge"/>
          <c:x val="0.32050656167978997"/>
          <c:y val="1.80180081656459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59959074397833E-2"/>
              <c:y val="9.25938283138336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5134337339719014E-3"/>
              <c:y val="1.822145113216771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0334532473924049E-3"/>
              <c:y val="3.333185046784401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31912320540919E-2"/>
              <c:y val="9.5717733269918438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-7.7034183919114105E-3"/>
              <c:y val="1.225351864573971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-9.2353001329379281E-3"/>
              <c:y val="-8.2581628592562116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9.25925925925923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3333333333332309E-3"/>
              <c:y val="1.85185185185184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7777777777777779E-3"/>
              <c:y val="1.388888888888888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51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7777777777777779E-3"/>
              <c:y val="1.851851851851851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-5.5555555555555558E-3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7777777777777779E-3"/>
              <c:y val="1.851851851851847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5555555555555558E-3"/>
              <c:y val="9.2592592592592171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9.2592592592592587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5555555555555558E-3"/>
              <c:y val="1.388888888888884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3333333333332309E-3"/>
              <c:y val="9.2592592592592171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4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8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99625629456355E-2"/>
              <c:y val="1.387829411496977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1.9444444444444445E-2"/>
              <c:y val="1.388888888888888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916096954630115E-2"/>
              <c:y val="1.387283236994219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layout>
            <c:manualLayout>
              <c:x val="0"/>
              <c:y val="2.252252252252252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3.153153153153152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987012987012988E-2"/>
              <c:y val="4.504504504504504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181818181818181E-2"/>
              <c:y val="8.2581628592562116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84415584415584E-2"/>
              <c:y val="1.351351351351351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181818181818181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779220779220779E-2"/>
              <c:y val="1.801801801801801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8571428571428571E-2"/>
              <c:y val="9.009009009009008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1948051948051948E-3"/>
              <c:y val="1.351351351351351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922077922077922E-3"/>
              <c:y val="9.0090090090089257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8571428571428477E-2"/>
              <c:y val="2.25225225225224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84415584415584E-2"/>
              <c:y val="1.801801801801801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974025974025976E-2"/>
              <c:y val="1.351351351351343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6363636363636362E-2"/>
              <c:y val="4.5045045045044628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779220779220779E-2"/>
              <c:y val="4.5045045045044221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181818181818181E-2"/>
              <c:y val="2.252252252252252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84415584415584E-2"/>
              <c:y val="2.252252252252252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922077922077922E-3"/>
              <c:y val="9.009009009009008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layout>
            <c:manualLayout>
              <c:x val="1.038961038961039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layout>
            <c:manualLayout>
              <c:x val="7.7922077922077922E-3"/>
              <c:y val="9.009009009009008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layout>
            <c:manualLayout>
              <c:x val="1.5584415584415584E-2"/>
              <c:y val="2.252252252252252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974025974025976E-2"/>
              <c:y val="1.3513513513513473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1948051948051948E-3"/>
              <c:y val="1.351351351351343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9.009009009009008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779220779220779E-2"/>
              <c:y val="1.801801801801801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922077922077922E-3"/>
              <c:y val="9.009009009009008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1.801801801801793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84415584415584E-2"/>
              <c:y val="9.009009009009008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8571428571428571E-2"/>
              <c:y val="1.801801801801805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987012987012988E-2"/>
              <c:y val="1.801801801801793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1.351351351351351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779220779220779E-2"/>
              <c:y val="1.351351351351355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1948051948051948E-3"/>
              <c:y val="9.009009009009008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1.801801801801793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779220779220755E-2"/>
              <c:y val="2.252252252252252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181818181818181E-2"/>
              <c:y val="4.5045045045044221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1.801801801801797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84415584415584E-2"/>
              <c:y val="2.252252252252252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84415584415584E-2"/>
              <c:y val="1.801801801801801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9.009009009009008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974025974025974E-3"/>
              <c:y val="1.351351351351351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922077922077922E-3"/>
              <c:y val="1.801801801801793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3766233766233764E-2"/>
              <c:y val="1.801801801801797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1168831168831075E-2"/>
              <c:y val="2.252252252252252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987012987012988E-2"/>
              <c:y val="1.801801801801801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8571428571428571E-2"/>
              <c:y val="9.0090090090089881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9.009009009009008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505472083101294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79284368253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58568737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9.416195856873801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4.7080979284369112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79284369112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562E-2"/>
              <c:y val="4.7080979284369112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3E-2"/>
              <c:y val="9.416195856873801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79284368253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9.4161958568737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812E-3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939E-3"/>
              <c:y val="-8.631413157979656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-2.1578532894949141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562E-2"/>
              <c:y val="-4.3157065789898282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58568737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4.7080979284369112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4.7080979284369112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-2.1578532894949141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58568737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1.412429378531069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9.4161958568737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66E-2"/>
              <c:y val="1.412429378531071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574E-2"/>
              <c:y val="9.4161958568737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1.8832391713747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5856873737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79284369112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8.631413157979656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179E-3"/>
              <c:y val="1.8832391713747603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505472083101464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525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layout>
            <c:manualLayout>
              <c:x val="1.623075496197366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1.883239171374762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562E-2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562E-2"/>
              <c:y val="9.416195856873737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66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538E-2"/>
              <c:y val="1.8832391713747603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66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883239171374762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43E-2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23E-2"/>
              <c:y val="-4.7080979284369112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66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49E-2"/>
              <c:y val="-4.3157065789898282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66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1.412429378531075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207E-3"/>
              <c:y val="4.7080979284369546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2.354048964218451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587E-2"/>
              <c:y val="1.8832391713747603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525E-2"/>
              <c:y val="1.412429378531064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562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79284369546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479E-2"/>
              <c:y val="4.7080979284368253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7824151363383415E-2"/>
              <c:y val="4.7080979284369112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472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3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179E-3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089E-3"/>
              <c:y val="1.883239171374762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4E-3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4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3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3.766478342749528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2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089E-3"/>
              <c:y val="2.824858757062144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089E-3"/>
              <c:y val="2.354048964218453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766478342749528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382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7003451630076786E-16"/>
              <c:y val="2.82485875706214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3186792802819514E-3"/>
              <c:y val="3.295668549905833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7003451630076786E-16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4E-3"/>
              <c:y val="3.766478342749520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29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7003451630076786E-16"/>
              <c:y val="3.766478342749520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7003451630076786E-16"/>
              <c:y val="3.295668549905833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3186792802820364E-3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7003451630076786E-16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29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7003451630076786E-16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7003451630076786E-16"/>
              <c:y val="2.354048964218451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382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7003451630076786E-16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1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1.883239171374755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4E-3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dLbl>
          <c:idx val="0"/>
          <c:layout>
            <c:manualLayout>
              <c:x val="0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1.883239171374755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78942570647219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78942570647219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67365542388331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78942570647219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78942570647219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34731084776663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2355829509485636E-17"/>
              <c:y val="2.278942570647221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67365542388331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78942570647219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34731084776663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2355829509485636E-17"/>
              <c:y val="2.734731084776665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34731084776663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2355829509485636E-17"/>
              <c:y val="2.734731084776663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2355829509485636E-17"/>
              <c:y val="2.734731084776663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34731084776663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2355829509485636E-17"/>
              <c:y val="3.1905195989061053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2355829509485636E-17"/>
              <c:y val="2.734731084776663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34731084776663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789425706472112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2355829509485636E-17"/>
              <c:y val="2.278942570647217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23154056517775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6736554238832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9.1157702825888781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0573E-3"/>
              <c:y val="1.41242937853107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9.4161958568737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0573E-3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82485875706214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9378531071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3.295668549905842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3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4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382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3.295668549905829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382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2.82485875706214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3213705371651423E-3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3.295668549905833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2.824858757062144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29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3213705371651423E-3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40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3213705371651211E-3"/>
              <c:y val="2.824858757062144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2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1.883239171374755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9378531064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9.416195856873737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766478342749528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1.412429378531064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55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1.883239171374755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1.41242937853107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3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3.295668549905829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3213705371651211E-3"/>
              <c:y val="2.354048964218453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382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3213705371652273E-3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0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8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0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8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7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18518518518519E-3"/>
              <c:y val="1.851851851851851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06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693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06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51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693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5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7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703703703703703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18518518518519E-3"/>
              <c:y val="1.851851851851851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4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7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06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07407407407322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7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51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7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06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07407407407322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0740740740740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5555555555555558E-3"/>
              <c:y val="2.31481481481481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8518518518518519E-3"/>
              <c:y val="2.31481481481481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18518518518519E-3"/>
              <c:y val="2.31481481481481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7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703703703703703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0740740740740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51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0740740740740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693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51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493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480982185844969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034183919114816E-3"/>
              <c:y val="2.237136465324384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2739528165623498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2.237136465324384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1.34228187919462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6961964371690007E-2"/>
              <c:y val="8.948545861297457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274E-3"/>
              <c:y val="1.78970917225950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1.34228187919462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2.684563758389253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082E-2"/>
              <c:y val="1.342281879194628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480982185844969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034183919114105E-3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480982185844969E-2"/>
              <c:y val="2.237136465324384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1.78970917225950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1.789709172259499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2.237136465324376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1.78970917225950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888781896966779E-2"/>
              <c:y val="2.684563758389253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2.237136465324384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274E-3"/>
              <c:y val="1.34228187919462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1.34228187919462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18440057775638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236880115551276E-2"/>
              <c:y val="1.342281879194632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-2.0506847368622806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036109773712085E-2"/>
              <c:y val="1.78970917225950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dLbl>
          <c:idx val="0"/>
          <c:layout>
            <c:manualLayout>
              <c:x val="1.7332691381800675E-2"/>
              <c:y val="0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dLbl>
          <c:idx val="0"/>
          <c:layout>
            <c:manualLayout>
              <c:x val="1.9258545979778528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3332E-3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18440057775638E-2"/>
              <c:y val="8.9485458612974973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dLbl>
          <c:idx val="0"/>
          <c:layout>
            <c:manualLayout>
              <c:x val="2.6961964371689937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dLbl>
          <c:idx val="0"/>
          <c:layout>
            <c:manualLayout>
              <c:x val="1.9258545979778528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dLbl>
          <c:idx val="0"/>
          <c:layout>
            <c:manualLayout>
              <c:x val="2.888781896966779E-2"/>
              <c:y val="4.47427293064868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4.47427293064868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1.34228187919462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1.34228187919463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082E-2"/>
              <c:y val="1.342281879194628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dLbl>
          <c:idx val="0"/>
          <c:layout>
            <c:manualLayout>
              <c:x val="1.5406836783822821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dLbl>
          <c:idx val="0"/>
          <c:layout>
            <c:manualLayout>
              <c:x val="1.3480982185844969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dLbl>
          <c:idx val="0"/>
          <c:layout>
            <c:manualLayout>
              <c:x val="1.7332691381800533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184400577756238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036109773712085E-2"/>
              <c:y val="8.9485458612975806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7775637939335225E-3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8.9485458612974973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18440057775638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184400577756238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18440057775638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8887818969667647E-2"/>
              <c:y val="8.948545861297457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533E-2"/>
              <c:y val="1.34228187919462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dLbl>
          <c:idx val="0"/>
          <c:layout>
            <c:manualLayout>
              <c:x val="1.7332691381800675E-2"/>
              <c:y val="8.948545861297457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dLbl>
          <c:idx val="0"/>
          <c:layout>
            <c:manualLayout>
              <c:x val="1.7332691381800675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0813673567645642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8.948722013775124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2773154800040948E-2"/>
                  <c:h val="6.2572883087600617E-2"/>
                </c:manualLayout>
              </c15:layout>
            </c:ext>
          </c:extLst>
        </c:dLbl>
      </c:pivotFmt>
      <c:pivotFmt>
        <c:idx val="4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036109773712085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480982185844969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480982185844969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6974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274E-3"/>
              <c:y val="-2.0506847368622806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034183919114105E-3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6974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dLbl>
          <c:idx val="0"/>
          <c:layout>
            <c:manualLayout>
              <c:x val="2.3110255175734198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dLbl>
          <c:idx val="0"/>
          <c:layout>
            <c:manualLayout>
              <c:x val="1.7332691381800675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1.34228187919462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274E-3"/>
              <c:y val="-2.0506847368622806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6974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533E-2"/>
              <c:y val="4.4742729306487287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480982185844934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638E-3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638E-3"/>
              <c:y val="1.34228187919462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18440057775638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6974E-2"/>
              <c:y val="8.948545861297457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082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274E-3"/>
              <c:y val="-2.0506847368622806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274E-3"/>
              <c:y val="-4.1013694737245612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6974E-2"/>
              <c:y val="4.1013694737245612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480982185844969E-2"/>
              <c:y val="8.948545861297457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034183919114105E-3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480982185844969E-2"/>
              <c:y val="1.78970917225950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638E-3"/>
              <c:y val="1.34228187919462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6974E-2"/>
              <c:y val="1.34228187919462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034183919114105E-3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034183919114105E-3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638E-3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034183919114105E-3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7775637939335225E-3"/>
              <c:y val="8.9485458612974973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18440057775638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18440057775638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6961964371689937E-2"/>
              <c:y val="-4.1013694737245612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8517091959555643E-3"/>
              <c:y val="2.237136465324384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638E-3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2.237136465324384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6974E-2"/>
              <c:y val="1.789709172259499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1.34228187919462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dLbl>
          <c:idx val="0"/>
          <c:layout>
            <c:manualLayout>
              <c:x val="1.1555127587867116E-2"/>
              <c:y val="1.78970917225950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dLbl>
          <c:idx val="0"/>
          <c:layout>
            <c:manualLayout>
              <c:x val="9.6292729898892638E-3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7775637939335581E-3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1.78970917225950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7775637939335225E-3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1.789709172259499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dLbl>
          <c:idx val="0"/>
          <c:layout>
            <c:manualLayout>
              <c:x val="7.7034183919114105E-3"/>
              <c:y val="-8.2027389474491224E-17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7775637939335581E-3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7775637939335581E-3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034183919114105E-3"/>
              <c:y val="1.78970917225950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221267352913331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221267352913331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332514873925703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332514873925703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332514873925703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-9.2353001329379281E-3"/>
              <c:y val="-8.2581628592562116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5134337339719014E-3"/>
              <c:y val="1.822145113216771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-9.2353001329379281E-3"/>
              <c:y val="-8.2581628592562116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5134337339719014E-3"/>
              <c:y val="1.822145113216771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6662574369628167E-3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6662574369628167E-3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6662574369628167E-3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962867538051901"/>
          <c:y val="0.15319483369663536"/>
          <c:w val="0.79242804024496927"/>
          <c:h val="0.526543452901720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'100% Occupancy'!$B$23</c:f>
              <c:strCache>
                <c:ptCount val="1"/>
                <c:pt idx="0">
                  <c:v> Capacity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E23A-4D7D-A64F-4743390DBADE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E23A-4D7D-A64F-4743390DBAD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23A-4D7D-A64F-4743390DBADE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E23A-4D7D-A64F-4743390DBADE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E23A-4D7D-A64F-4743390DBADE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E23A-4D7D-A64F-4743390DBADE}"/>
              </c:ext>
            </c:extLst>
          </c:dPt>
          <c:dLbls>
            <c:dLbl>
              <c:idx val="2"/>
              <c:layout>
                <c:manualLayout>
                  <c:x val="-9.2353001329379281E-3"/>
                  <c:y val="-8.258162859256211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3A-4D7D-A64F-4743390DBADE}"/>
                </c:ext>
              </c:extLst>
            </c:dLbl>
            <c:numFmt formatCode="_(* #,##0_);_(* \(#,##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'100% Occupancy'!$A$24:$A$36</c:f>
              <c:multiLvlStrCache>
                <c:ptCount val="6"/>
                <c:lvl>
                  <c:pt idx="0">
                    <c:v>45%</c:v>
                  </c:pt>
                  <c:pt idx="1">
                    <c:v>75%</c:v>
                  </c:pt>
                  <c:pt idx="2">
                    <c:v>100%</c:v>
                  </c:pt>
                  <c:pt idx="3">
                    <c:v>54%</c:v>
                  </c:pt>
                  <c:pt idx="4">
                    <c:v>63%</c:v>
                  </c:pt>
                  <c:pt idx="5">
                    <c:v>39%</c:v>
                  </c:pt>
                </c:lvl>
                <c:lvl>
                  <c:pt idx="0">
                    <c:v>Expo Global Freeport </c:v>
                  </c:pt>
                  <c:pt idx="1">
                    <c:v>Hirdaramani Woven Client Warehouse </c:v>
                  </c:pt>
                  <c:pt idx="2">
                    <c:v>Kandana DC</c:v>
                  </c:pt>
                  <c:pt idx="3">
                    <c:v>Orugodawatta DC</c:v>
                  </c:pt>
                  <c:pt idx="4">
                    <c:v>Peliyagoda DC</c:v>
                  </c:pt>
                  <c:pt idx="5">
                    <c:v>Orugodawatta DC Cold Room </c:v>
                  </c:pt>
                </c:lvl>
              </c:multiLvlStrCache>
            </c:multiLvlStrRef>
          </c:cat>
          <c:val>
            <c:numRef>
              <c:f>'100% Occupancy'!$B$24:$B$36</c:f>
              <c:numCache>
                <c:formatCode>General</c:formatCode>
                <c:ptCount val="6"/>
                <c:pt idx="0">
                  <c:v>21000</c:v>
                </c:pt>
                <c:pt idx="1">
                  <c:v>4300</c:v>
                </c:pt>
                <c:pt idx="2">
                  <c:v>7500</c:v>
                </c:pt>
                <c:pt idx="3">
                  <c:v>10300</c:v>
                </c:pt>
                <c:pt idx="4">
                  <c:v>10250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23A-4D7D-A64F-4743390DBADE}"/>
            </c:ext>
          </c:extLst>
        </c:ser>
        <c:ser>
          <c:idx val="1"/>
          <c:order val="1"/>
          <c:tx>
            <c:strRef>
              <c:f>'100% Occupancy'!$C$23</c:f>
              <c:strCache>
                <c:ptCount val="1"/>
                <c:pt idx="0">
                  <c:v> Occupancy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E23A-4D7D-A64F-4743390DBADE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E23A-4D7D-A64F-4743390DBAD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E23A-4D7D-A64F-4743390DBADE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E23A-4D7D-A64F-4743390DBADE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E23A-4D7D-A64F-4743390DBADE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E23A-4D7D-A64F-4743390DBADE}"/>
              </c:ext>
            </c:extLst>
          </c:dPt>
          <c:dLbls>
            <c:dLbl>
              <c:idx val="2"/>
              <c:layout>
                <c:manualLayout>
                  <c:x val="7.5134337339719014E-3"/>
                  <c:y val="1.822145113216771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23A-4D7D-A64F-4743390DBADE}"/>
                </c:ext>
              </c:extLst>
            </c:dLbl>
            <c:numFmt formatCode="_(* #,##0_);_(* \(#,##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'100% Occupancy'!$A$24:$A$36</c:f>
              <c:multiLvlStrCache>
                <c:ptCount val="6"/>
                <c:lvl>
                  <c:pt idx="0">
                    <c:v>45%</c:v>
                  </c:pt>
                  <c:pt idx="1">
                    <c:v>75%</c:v>
                  </c:pt>
                  <c:pt idx="2">
                    <c:v>100%</c:v>
                  </c:pt>
                  <c:pt idx="3">
                    <c:v>54%</c:v>
                  </c:pt>
                  <c:pt idx="4">
                    <c:v>63%</c:v>
                  </c:pt>
                  <c:pt idx="5">
                    <c:v>39%</c:v>
                  </c:pt>
                </c:lvl>
                <c:lvl>
                  <c:pt idx="0">
                    <c:v>Expo Global Freeport </c:v>
                  </c:pt>
                  <c:pt idx="1">
                    <c:v>Hirdaramani Woven Client Warehouse </c:v>
                  </c:pt>
                  <c:pt idx="2">
                    <c:v>Kandana DC</c:v>
                  </c:pt>
                  <c:pt idx="3">
                    <c:v>Orugodawatta DC</c:v>
                  </c:pt>
                  <c:pt idx="4">
                    <c:v>Peliyagoda DC</c:v>
                  </c:pt>
                  <c:pt idx="5">
                    <c:v>Orugodawatta DC Cold Room </c:v>
                  </c:pt>
                </c:lvl>
              </c:multiLvlStrCache>
            </c:multiLvlStrRef>
          </c:cat>
          <c:val>
            <c:numRef>
              <c:f>'100% Occupancy'!$C$24:$C$36</c:f>
              <c:numCache>
                <c:formatCode>General</c:formatCode>
                <c:ptCount val="6"/>
                <c:pt idx="0">
                  <c:v>9403.6718999999994</c:v>
                </c:pt>
                <c:pt idx="1">
                  <c:v>3243.8409999999999</c:v>
                </c:pt>
                <c:pt idx="2">
                  <c:v>7500</c:v>
                </c:pt>
                <c:pt idx="3">
                  <c:v>5558.7183473000014</c:v>
                </c:pt>
                <c:pt idx="4">
                  <c:v>6463.1408999999994</c:v>
                </c:pt>
                <c:pt idx="5">
                  <c:v>39.439366699999859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23A-4D7D-A64F-4743390DBAD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774494320"/>
        <c:axId val="-774502480"/>
      </c:barChart>
      <c:catAx>
        <c:axId val="-77449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4502480"/>
        <c:crosses val="autoZero"/>
        <c:auto val="1"/>
        <c:lblAlgn val="ctr"/>
        <c:lblOffset val="100"/>
        <c:noMultiLvlLbl val="0"/>
      </c:catAx>
      <c:valAx>
        <c:axId val="-7745024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449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1672775676191501E-3"/>
          <c:y val="0.9055646078922216"/>
          <c:w val="0.29408814523184601"/>
          <c:h val="9.14845933275681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Sellable Space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WH (2)'!$ABK$85</c:f>
              <c:strCache>
                <c:ptCount val="1"/>
                <c:pt idx="0">
                  <c:v>Actual Sellable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WH (2)'!$ABE$86:$ABE$90</c:f>
              <c:strCache>
                <c:ptCount val="5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Orugodawatta DC Cold Room </c:v>
                </c:pt>
                <c:pt idx="4">
                  <c:v>Peliyagoda DC</c:v>
                </c:pt>
              </c:strCache>
            </c:strRef>
          </c:cat>
          <c:val>
            <c:numRef>
              <c:f>'All WH (2)'!$ABK$86:$ABK$90</c:f>
              <c:numCache>
                <c:formatCode>_(* #,##0_);_(* \(#,##0\);_(* "-"??_);_(@_)</c:formatCode>
                <c:ptCount val="5"/>
                <c:pt idx="0">
                  <c:v>11596.328100000001</c:v>
                </c:pt>
                <c:pt idx="1">
                  <c:v>0</c:v>
                </c:pt>
                <c:pt idx="2">
                  <c:v>4741.2816526999986</c:v>
                </c:pt>
                <c:pt idx="3">
                  <c:v>60.560633300000141</c:v>
                </c:pt>
                <c:pt idx="4">
                  <c:v>3786.8591000000006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D-4568-BBDB-EA01AA8CAE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35997967"/>
        <c:axId val="45258927"/>
      </c:barChart>
      <c:catAx>
        <c:axId val="935997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8927"/>
        <c:crosses val="autoZero"/>
        <c:auto val="1"/>
        <c:lblAlgn val="ctr"/>
        <c:lblOffset val="100"/>
        <c:noMultiLvlLbl val="0"/>
      </c:catAx>
      <c:valAx>
        <c:axId val="45258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7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plant).xlsx]SheetPannal1!PivotTable1</c:name>
    <c:fmtId val="22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DC Occupancy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9487743405660775E-3"/>
              <c:y val="2.3468651979109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468651979109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49655025171584"/>
          <c:y val="0.16697959642152038"/>
          <c:w val="0.70456301449791403"/>
          <c:h val="0.615910488509303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SheetPannal1!$C$3</c:f>
              <c:strCache>
                <c:ptCount val="1"/>
                <c:pt idx="0">
                  <c:v>Capacity 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SheetPannal1!$A$4:$B$6</c:f>
              <c:multiLvlStrCache>
                <c:ptCount val="2"/>
                <c:lvl>
                  <c:pt idx="0">
                    <c:v>91%</c:v>
                  </c:pt>
                  <c:pt idx="1">
                    <c:v>57%</c:v>
                  </c:pt>
                </c:lvl>
                <c:lvl>
                  <c:pt idx="0">
                    <c:v>Main DC</c:v>
                  </c:pt>
                  <c:pt idx="1">
                    <c:v>BIPL</c:v>
                  </c:pt>
                </c:lvl>
              </c:multiLvlStrCache>
            </c:multiLvlStrRef>
          </c:cat>
          <c:val>
            <c:numRef>
              <c:f>SheetPannal1!$C$4:$C$6</c:f>
              <c:numCache>
                <c:formatCode>General</c:formatCode>
                <c:ptCount val="2"/>
                <c:pt idx="0">
                  <c:v>10131</c:v>
                </c:pt>
                <c:pt idx="1">
                  <c:v>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4D-4FEA-8807-843C4D27615D}"/>
            </c:ext>
          </c:extLst>
        </c:ser>
        <c:ser>
          <c:idx val="1"/>
          <c:order val="1"/>
          <c:tx>
            <c:strRef>
              <c:f>SheetPannal1!$D$3</c:f>
              <c:strCache>
                <c:ptCount val="1"/>
                <c:pt idx="0">
                  <c:v>Occupancy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SheetPannal1!$A$4:$B$6</c:f>
              <c:multiLvlStrCache>
                <c:ptCount val="2"/>
                <c:lvl>
                  <c:pt idx="0">
                    <c:v>91%</c:v>
                  </c:pt>
                  <c:pt idx="1">
                    <c:v>57%</c:v>
                  </c:pt>
                </c:lvl>
                <c:lvl>
                  <c:pt idx="0">
                    <c:v>Main DC</c:v>
                  </c:pt>
                  <c:pt idx="1">
                    <c:v>BIPL</c:v>
                  </c:pt>
                </c:lvl>
              </c:multiLvlStrCache>
            </c:multiLvlStrRef>
          </c:cat>
          <c:val>
            <c:numRef>
              <c:f>SheetPannal1!$D$4:$D$6</c:f>
              <c:numCache>
                <c:formatCode>General</c:formatCode>
                <c:ptCount val="2"/>
                <c:pt idx="0">
                  <c:v>9169</c:v>
                </c:pt>
                <c:pt idx="1">
                  <c:v>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4D-4FEA-8807-843C4D2761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644856880"/>
        <c:axId val="-1643828000"/>
      </c:barChart>
      <c:catAx>
        <c:axId val="-1644856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28000"/>
        <c:crosses val="autoZero"/>
        <c:auto val="1"/>
        <c:lblAlgn val="ctr"/>
        <c:lblOffset val="100"/>
        <c:noMultiLvlLbl val="0"/>
      </c:catAx>
      <c:valAx>
        <c:axId val="-16438280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 of pallets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87751531058619"/>
          <c:y val="0.90314269926785484"/>
          <c:w val="0.26907330633808108"/>
          <c:h val="8.2498807637127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cap="none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cap="none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Opportunity Cost For the Day</a:t>
            </a:r>
          </a:p>
        </c:rich>
      </c:tx>
      <c:layout>
        <c:manualLayout>
          <c:xMode val="edge"/>
          <c:yMode val="edge"/>
          <c:x val="0.34640821419849965"/>
          <c:y val="1.84614943292204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cap="none" spc="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534457625623187"/>
          <c:y val="0.11889982523683489"/>
          <c:w val="0.79247165828713717"/>
          <c:h val="0.459388770017922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'All WH'!$AIP$57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9C4-4770-8A58-B91A180570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('All WH'!$AII$61,'All WH'!$AII$64,'All WH'!$AII$58,'All WH'!$AII$60,'All WH'!$AII$59)</c:f>
              <c:strCache>
                <c:ptCount val="5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Peliyagoda DC</c:v>
                </c:pt>
                <c:pt idx="4">
                  <c:v>Orugodawatta DC Cold Room </c:v>
                </c:pt>
              </c:strCache>
            </c:strRef>
          </c:cat>
          <c:val>
            <c:numRef>
              <c:f>('All WH'!$AIP$61,'All WH'!$AIP$64,'All WH'!$AIP$58,'All WH'!$AIP$60,'All WH'!$AIP$59)</c:f>
              <c:numCache>
                <c:formatCode>#,##0</c:formatCode>
                <c:ptCount val="5"/>
                <c:pt idx="0">
                  <c:v>1237195.135652459</c:v>
                </c:pt>
                <c:pt idx="1">
                  <c:v>0</c:v>
                </c:pt>
                <c:pt idx="2">
                  <c:v>453919.42379947525</c:v>
                </c:pt>
                <c:pt idx="3">
                  <c:v>309405.0123672132</c:v>
                </c:pt>
                <c:pt idx="4">
                  <c:v>5797.9360405246034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C4-4770-8A58-B91A18057079}"/>
            </c:ext>
          </c:extLst>
        </c:ser>
        <c:ser>
          <c:idx val="1"/>
          <c:order val="1"/>
          <c:tx>
            <c:strRef>
              <c:f>'All WH'!$AIQ$57</c:f>
              <c:strCache>
                <c:ptCount val="1"/>
                <c:pt idx="0">
                  <c:v>Net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122052051199496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C4-4770-8A58-B91A1805707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9C4-4770-8A58-B91A180570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('All WH'!$AII$61,'All WH'!$AII$64,'All WH'!$AII$58,'All WH'!$AII$60,'All WH'!$AII$59)</c:f>
              <c:strCache>
                <c:ptCount val="5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Peliyagoda DC</c:v>
                </c:pt>
                <c:pt idx="4">
                  <c:v>Orugodawatta DC Cold Room </c:v>
                </c:pt>
              </c:strCache>
            </c:strRef>
          </c:cat>
          <c:val>
            <c:numRef>
              <c:f>('All WH'!$AIQ$61,'All WH'!$AIQ$64,'All WH'!$AIQ$58,'All WH'!$AIQ$60,'All WH'!$AIQ$59)</c:f>
              <c:numCache>
                <c:formatCode>#,##0</c:formatCode>
                <c:ptCount val="5"/>
                <c:pt idx="0">
                  <c:v>279832.70431475411</c:v>
                </c:pt>
                <c:pt idx="1">
                  <c:v>0</c:v>
                </c:pt>
                <c:pt idx="2">
                  <c:v>82855.840029150801</c:v>
                </c:pt>
                <c:pt idx="3">
                  <c:v>76978.775147541004</c:v>
                </c:pt>
                <c:pt idx="4">
                  <c:v>1058.3218868491829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9C4-4770-8A58-B91A180570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1643834528"/>
        <c:axId val="-1643822016"/>
      </c:barChart>
      <c:catAx>
        <c:axId val="-164383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layout>
            <c:manualLayout>
              <c:xMode val="edge"/>
              <c:yMode val="edge"/>
              <c:x val="0.48025928189329115"/>
              <c:y val="0.7108650457758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22016"/>
        <c:crosses val="autoZero"/>
        <c:auto val="1"/>
        <c:lblAlgn val="ctr"/>
        <c:lblOffset val="100"/>
        <c:noMultiLvlLbl val="0"/>
      </c:catAx>
      <c:valAx>
        <c:axId val="-1643822016"/>
        <c:scaling>
          <c:orientation val="minMax"/>
          <c:max val="1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LKR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34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45513356147751"/>
          <c:y val="0.82666331877623533"/>
          <c:w val="0.25089721420550826"/>
          <c:h val="6.719052835330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plant).xlsx]Utilization!PivotTable1</c:name>
    <c:fmtId val="214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DC Occupancy  </a:t>
            </a:r>
          </a:p>
        </c:rich>
      </c:tx>
      <c:layout>
        <c:manualLayout>
          <c:xMode val="edge"/>
          <c:yMode val="edge"/>
          <c:x val="0.40218388030394175"/>
          <c:y val="3.06222809999839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88323917137476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5031890707865561E-3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5856873822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094728423926364E-2"/>
              <c:y val="8.311443563339895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6617926932756097E-2"/>
                  <c:h val="6.1134814295262879E-2"/>
                </c:manualLayout>
              </c15:layout>
            </c:ext>
          </c:extLst>
        </c:dLbl>
      </c:pivotFmt>
      <c:pivotFmt>
        <c:idx val="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624E-3"/>
              <c:y val="2.354048964218451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824858757062146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2.824858757062144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189018324187211E-2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4.708097928436911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2704946011568055E-3"/>
              <c:y val="1.88323917137476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6352473005783529E-3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1.88323917137476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412429378531064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472E-2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7928436911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290643344039424E-2"/>
              <c:y val="8.3299937979173903E-4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2998918205750262E-2"/>
              <c:y val="1.88323847322742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66757152943E-3"/>
              <c:y val="9.416195856873909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176236502890765E-3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17623650289143E-3"/>
              <c:y val="1.88323917137476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6352473005783529E-3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0146723617842588E-17"/>
              <c:y val="2.824858757062146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937853106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1134100135730538E-3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378033378576099E-3"/>
              <c:y val="1.883239171374773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2.824702729693371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372636373143073E-3"/>
              <c:y val="4.70783788282228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4527274628913E-3"/>
              <c:y val="9.415675765644572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207E-3"/>
              <c:y val="4.70783788282228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2.353918941411140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567576564452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layout>
            <c:manualLayout>
              <c:x val="1.3912075681691666E-2"/>
              <c:y val="9.4156757656445496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layout>
            <c:manualLayout>
              <c:x val="4.6373585605638179E-3"/>
              <c:y val="1.41235136484668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15E-2"/>
              <c:y val="9.415675765644572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23E-2"/>
              <c:y val="-4.707837882822371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layout>
            <c:manualLayout>
              <c:x val="1.0186319820605272E-2"/>
              <c:y val="9.415675765644593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13515312891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567576564452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179E-3"/>
              <c:y val="9.41567576564452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layout>
            <c:manualLayout>
              <c:x val="9.6133921365100794E-3"/>
              <c:y val="1.875783961382486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3.6369759604480295E-3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917137476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5856873822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1512146593498286E-3"/>
              <c:y val="1.412429378531064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4399902774738386E-3"/>
              <c:y val="1.5373608960756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4399902774739167E-3"/>
              <c:y val="2.56226816012602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2.1466634258246651E-3"/>
              <c:y val="1.02490726405040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785759979396858E-2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931561880903514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3726247523613896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781714055359065E-2"/>
              <c:y val="-8.63140995817466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4851272400784E-3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9928665010362E-2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4.6373585605639029E-3"/>
              <c:y val="-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378036648374571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1512146593498286E-3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861863677724757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2646256538622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1512146593498286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540989202313677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23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604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226820027146108E-2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54542201423486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1134109945123714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264623365003792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2646256538622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layout>
            <c:manualLayout>
              <c:x val="0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179E-3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624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069500494408064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4321419338441606E-3"/>
              <c:y val="2.82485770984114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1134109945123714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18901832418728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1134109945122968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189018324187286E-2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706859054971966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069500494408149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750821214126112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826402125443793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574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207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37772425454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1584121684288631E-2"/>
                  <c:h val="6.5842910478331435E-2"/>
                </c:manualLayout>
              </c15:layout>
            </c:ext>
          </c:extLst>
        </c:dLbl>
      </c:pivotFmt>
      <c:pivotFmt>
        <c:idx val="1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354048091534284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604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1.412428854920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4.708096183068616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624E-3"/>
              <c:y val="4.7080961830684876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-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4.708096183068552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744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8.63140995817466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842E-2"/>
              <c:y val="4.708096183068616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179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-8.63140995817466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88144426361E-3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94072213181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91108318921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851805329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7628885272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4.708096183068552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1.412428854920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624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412428854920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8664E-3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9389E-3"/>
              <c:y val="4.708096183068616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9.416192366137190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-8.63140995817466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88144424661E-3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91108319771E-3"/>
              <c:y val="9.416192366137190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91108319771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7036106589E-2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2.35404809153427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1.412428854920563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65708601956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1998673788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3141720391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54278135079E-3"/>
              <c:y val="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505472083101294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-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3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91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1998673788E-2"/>
              <c:y val="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65708601956E-3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-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0855627186E-2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3141720306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0971258058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2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09712580584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3141720306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91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0855627186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3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907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085562718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06E-2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91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085562718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236613712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562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1998673746E-2"/>
              <c:y val="9.41619236613712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91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8856953398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3141720306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4.708281541185974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1584121684288631E-2"/>
                  <c:h val="6.5842910478331435E-2"/>
                </c:manualLayout>
              </c15:layout>
            </c:ext>
          </c:extLst>
        </c:dLbl>
      </c:pivotFmt>
      <c:pivotFmt>
        <c:idx val="2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7528864521063877E-4"/>
              <c:y val="-5.64971541968228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56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7240568787900485E-3"/>
              <c:y val="1.88323847322742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905071098487481E-2"/>
              <c:y val="1.883238473227433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617217063636998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3620291885011417E-3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3620291885011417E-3"/>
              <c:y val="2.82485770984114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3521E-3"/>
              <c:y val="2.354048091534291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91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91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3521E-3"/>
              <c:y val="2.824857709841148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7328148001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732814800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2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7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3.295667328148001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611306747034E-17"/>
              <c:y val="2.35404809153427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5942505309E-3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611306747034E-17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2.644983815961883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5121E-3"/>
              <c:y val="3.085814451955535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5121E-3"/>
              <c:y val="2.20415317996823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498381596188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2.64498381596188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3322543974591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2.64498381596188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3521E-3"/>
              <c:y val="2.204153179968239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8.832837848223329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29981571713981E-3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503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7003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279205894922235E-2"/>
              <c:y val="4.416418924111664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0558411789844467E-3"/>
              <c:y val="3.533135139289327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7561638036220888E-2"/>
              <c:y val="1.755007134175337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3.09149324687816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4467E-3"/>
              <c:y val="8.832837848223329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4467E-3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3713E-3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881431741806069E-2"/>
              <c:y val="1.34784519367066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3713E-3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0558411789844467E-3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6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4467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09149324687816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3268790057802232E-16"/>
              <c:y val="3.09149324687816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3268790057802232E-16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3268790057802232E-16"/>
              <c:y val="2.649851354466994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3.53313513928932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3268790057802232E-16"/>
              <c:y val="3.533135139289327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09149324687816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7003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3.533135139289327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9363971307672333E-17"/>
              <c:y val="1.705372696110306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9363971307672333E-17"/>
              <c:y val="1.7053726961102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558059044165460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05372696110302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9363971307672333E-17"/>
              <c:y val="8.526863480551533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3.6188027290901589E-3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8094013645450794E-3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6188027290901589E-3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0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131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463E-3"/>
              <c:y val="2.6498513544669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44E-2"/>
              <c:y val="3.091495856472303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8.832837848223329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8.83283784822328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463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-8.0966744940633811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4.416418924111664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8094013645450794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3.533135139289331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3.09149324687816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131E-3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3.09149324687816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3.09149324687816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1236274161516191E-8"/>
              <c:y val="8.8328378482233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5.6308570464642861E-2"/>
                  <c:h val="5.7347373604350764E-2"/>
                </c:manualLayout>
              </c15:layout>
            </c:ext>
          </c:extLst>
        </c:dLbl>
      </c:pivotFmt>
      <c:pivotFmt>
        <c:idx val="4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8.8328378482232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131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3.09149324687816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1.324925677233497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850960821004678E-2"/>
              <c:y val="2.14063295241361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-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-4.4164189241116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6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463E-3"/>
              <c:y val="2.6498513544669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8094013645450794E-3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131E-3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7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7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09149324687816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3.09149324687816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69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9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4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0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5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0740740740740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7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5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18518518518519E-3"/>
              <c:y val="2.777777777777777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0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18518518517841E-3"/>
              <c:y val="2.777777777777777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7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0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8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8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18518518518519E-3"/>
              <c:y val="1.85185185185185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8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58628470423159E-2"/>
              <c:y val="1.0253423684311403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1095196009649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3567533274413509E-2"/>
              <c:y val="-8.202738947449122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7443971352817368E-2"/>
              <c:y val="-1.34228187919463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1095196009649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199028059293267E-2"/>
              <c:y val="4.451158177338347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0709419033431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6064128550140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6870741654252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60644835747642E-2"/>
              <c:y val="8.902316354676694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07096557165095E-2"/>
              <c:y val="-8.1603623892509656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68709487519459E-2"/>
              <c:y val="4.4511581773383066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0709655716509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07096557165095E-2"/>
              <c:y val="-4.451158177338347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6870948751945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68709487519459E-2"/>
              <c:y val="-4.451158177338347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68709487519494E-2"/>
              <c:y val="-2.040090597312741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45483626810733E-2"/>
              <c:y val="-8.1603623892509656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07096557165095E-2"/>
              <c:y val="1.335347453201504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0709655716495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68709487519494E-2"/>
              <c:y val="1.335347453201504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45483626810802E-2"/>
              <c:y val="2.670694906403008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22257766101936E-2"/>
              <c:y val="8.902316354676694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86E-2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4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858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7648582739E-2"/>
              <c:y val="-2.017272123771684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44555231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59431262463521E-2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2084164220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96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858E-2"/>
              <c:y val="8.80274368351155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929E-2"/>
              <c:y val="1.320411552526734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71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1616746072E-2"/>
              <c:y val="8.80274368351155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858E-2"/>
              <c:y val="1.76054873670231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78E-2"/>
              <c:y val="-2.017272123771684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96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44E-2"/>
              <c:y val="8.802743683511480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15E-2"/>
              <c:y val="1.320411552526734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96825530662866E-3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5942859551957E-2"/>
              <c:y val="-2.017272123771684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96825530663577E-3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9.6996825530665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55194920849063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8198095318397862E-3"/>
              <c:y val="4.034544247543369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86E-2"/>
              <c:y val="-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161674610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9682553066357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7459428595519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929E-2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597460424531431E-3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2978920680425718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7648582739E-2"/>
              <c:y val="2.20068592087789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597472277615648E-3"/>
              <c:y val="1.32041155252672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858E-2"/>
              <c:y val="8.80274368351155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8069403913E-2"/>
              <c:y val="8.80274368351155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491885719103914E-2"/>
              <c:y val="-4.034544247543369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858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5942859551957E-2"/>
              <c:y val="-2.017272123771684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858E-2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8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15E-2"/>
              <c:y val="1.320411552526734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38666722878999E-2"/>
              <c:y val="4.034544247543369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59428595519428E-2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dLbl>
          <c:idx val="0"/>
          <c:layout>
            <c:manualLayout>
              <c:x val="1.7459431262463486E-2"/>
              <c:y val="-2.0172721237716847E-17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9099052104105728E-2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79241683284765E-2"/>
              <c:y val="4.034544247543369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487634430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487634430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1616746142E-2"/>
              <c:y val="1.76054873670231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858E-2"/>
              <c:y val="-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1616746072E-2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858E-2"/>
              <c:y val="-8.80274368351155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71591111485859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8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4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161674607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96825530662866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79238127359287E-2"/>
              <c:y val="-4.034544247543369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dLbl>
          <c:idx val="0"/>
          <c:layout>
            <c:manualLayout>
              <c:x val="3.1038988911046117E-2"/>
              <c:y val="-4.034544247543369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dLbl>
          <c:idx val="0"/>
          <c:layout>
            <c:manualLayout>
              <c:x val="1.7459431262463521E-2"/>
              <c:y val="-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dLbl>
          <c:idx val="0"/>
          <c:layout>
            <c:manualLayout>
              <c:x val="2.133930487634430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dLbl>
          <c:idx val="0"/>
          <c:layout>
            <c:manualLayout>
              <c:x val="1.9399368069403913E-2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dLbl>
          <c:idx val="0"/>
          <c:layout>
            <c:manualLayout>
              <c:x val="2.1339304876344303E-2"/>
              <c:y val="-2.017272123771684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78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59428595519501E-2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1616746142E-2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71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3E-2"/>
              <c:y val="8.80274368351155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4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15E-2"/>
              <c:y val="8.802743683511480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858E-2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71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96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96825530664289E-3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3225745446337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69174949403749E-2"/>
              <c:y val="-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69174949403749E-2"/>
              <c:y val="1.30932919388277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58422464582482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179927434224876E-2"/>
              <c:y val="-4.36443064627599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39E-2"/>
              <c:y val="4.36443064627593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647175618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85096426660372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1734477948476143E-3"/>
              <c:y val="-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850964266603797E-2"/>
              <c:y val="4.364430646275915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0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67E-2"/>
              <c:y val="-2.0003409381005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2233157806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3645310933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3387571756937473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39E-2"/>
              <c:y val="-1.30932919388278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68565382557331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850964266603727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0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13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136E-2"/>
              <c:y val="-8.728861292551929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27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647175618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273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57635406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1527081108E-2"/>
              <c:y val="-4.36443064627599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0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5057464058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685650114928116E-2"/>
              <c:y val="1.30932919388278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435138749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02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4859096584545168E-2"/>
              <c:y val="4.0006818762011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273E-2"/>
              <c:y val="1.30932919388278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05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273E-2"/>
              <c:y val="8.728861292551830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dLbl>
          <c:idx val="0"/>
          <c:layout>
            <c:manualLayout>
              <c:x val="1.8346895589695229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dLbl>
          <c:idx val="0"/>
          <c:layout>
            <c:manualLayout>
              <c:x val="1.8346895589695159E-2"/>
              <c:y val="1.30932919388278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dLbl>
          <c:idx val="0"/>
          <c:layout>
            <c:manualLayout>
              <c:x val="2.018158514866474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1527081108E-2"/>
              <c:y val="4.364430646275915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152708124E-2"/>
              <c:y val="-4.0006818762011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02E-2"/>
              <c:y val="1.30932919388278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3645310863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514866474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558969522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0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05E-2"/>
              <c:y val="4.364430646275915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691278665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069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6912786659E-2"/>
              <c:y val="1.74577225851038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0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647175618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5589695159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5589695229E-2"/>
              <c:y val="4.364430646275874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9355032943512396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691278665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dLbl>
          <c:idx val="0"/>
          <c:layout>
            <c:manualLayout>
              <c:x val="2.3850960821004678E-2"/>
              <c:y val="1.7457722585103801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dLbl>
          <c:idx val="0"/>
          <c:layout>
            <c:manualLayout>
              <c:x val="1.6512203645310933E-2"/>
              <c:y val="4.3644306462759554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dLbl>
          <c:idx val="0"/>
          <c:layout>
            <c:manualLayout>
              <c:x val="1.8346892939234232E-2"/>
              <c:y val="4.3644306462759554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dLbl>
          <c:idx val="0"/>
          <c:layout>
            <c:manualLayout>
              <c:x val="1.2842825057464058E-2"/>
              <c:y val="-4.3644306462759554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138E-2"/>
              <c:y val="1.30932919388278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6912786659E-2"/>
              <c:y val="1.745772258510374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39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13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13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39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6912786659E-2"/>
              <c:y val="4.364430646275915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138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273E-2"/>
              <c:y val="1.30932919388277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2233157806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5057464058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435138742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5057464058E-2"/>
              <c:y val="4.364430646275874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dLbl>
          <c:idx val="0"/>
          <c:layout>
            <c:manualLayout>
              <c:x val="1.100813576354062E-2"/>
              <c:y val="-8.7288612925519905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1527081108E-2"/>
              <c:y val="-4.0006818762011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02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223315773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3645310964E-2"/>
              <c:y val="8.72886129255188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136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691278665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647175611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5148664749E-2"/>
              <c:y val="-4.364430646276035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273E-2"/>
              <c:y val="4.36443064627593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2233157806E-2"/>
              <c:y val="-2.0003409381005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02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4351387495E-2"/>
              <c:y val="-4.364430646276035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2233157806E-2"/>
              <c:y val="-4.0006818762011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136E-2"/>
              <c:y val="8.728861292551830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39E-2"/>
              <c:y val="-2.0003409381005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5148664749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6471756183E-2"/>
              <c:y val="-4.364430646276035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439364192848315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1312139761610738E-3"/>
              <c:y val="-4.364430646276035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1312139761610738E-3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82629861169828E-2"/>
              <c:y val="-4.36443064627597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14295859381601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8413149305849409E-3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7619723958774123E-3"/>
              <c:y val="-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8667697516581776E-3"/>
              <c:y val="-4.445251823515802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25181916408730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126637247678574E-2"/>
              <c:y val="-4.074767099498904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377001080496035E-2"/>
              <c:y val="8.8905036470316046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8762734148609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00145533126984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001455331269844E-2"/>
              <c:y val="8.8905036470316046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751091498452305E-2"/>
              <c:y val="4.445251823515802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126637247678418E-2"/>
              <c:y val="-8.89050364703168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37700108049587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051895160383478E-2"/>
              <c:y val="9.395742766757714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57784274057521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183382055431415E-2"/>
              <c:y val="9.395742766757714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788921370287453E-2"/>
              <c:y val="-8.612664708623576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051898022265147E-2"/>
              <c:y val="4.69787138337877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920410769481847E-2"/>
              <c:y val="4.697871383378857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05189802226514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378436814293881E-2"/>
              <c:y val="-4.59633335649597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253124376630801E-2"/>
              <c:y val="9.192666712991915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002499501304641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7629061689620042E-2"/>
              <c:y val="-4.213256904884665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378440726615993E-2"/>
              <c:y val="-2.106628452442332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37844072661599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378440726615993E-2"/>
              <c:y val="-4.213256904884665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87718955330101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724475480380244E-2"/>
              <c:y val="-4.34196198560998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69692302841823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8346852882281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724475480380282E-2"/>
              <c:y val="8.683923971219972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669370576456301E-2"/>
              <c:y val="1.9900429209256041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779580384304225E-2"/>
              <c:y val="4.341961985609906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696923028418164E-2"/>
              <c:y val="8.683923971219932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80713283626619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8071328362661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779580384304225E-2"/>
              <c:y val="1.30258859568299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8346852882281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25160005719330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5.2518977175299075E-2"/>
                  <c:h val="6.0109486376741281E-2"/>
                </c:manualLayout>
              </c15:layout>
            </c:ext>
          </c:extLst>
        </c:dLbl>
      </c:pivotFmt>
      <c:pivotFmt>
        <c:idx val="7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116055853372947E-2"/>
              <c:y val="4.010178907658768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744038130897673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802066729071145E-2"/>
              <c:y val="-7.351909734152597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59254254025851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645423991834749E-2"/>
              <c:y val="1.179771105826397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242868700308519E-2"/>
              <c:y val="4.555661575326250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6723591743784102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4539319572974085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235502769703889E-2"/>
              <c:y val="8.896750409373030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235502769703854E-2"/>
              <c:y val="1.334512561405968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344716659746191E-2"/>
              <c:y val="4.448375204686474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34471834875689E-2"/>
              <c:y val="8.896750409373111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41884210381181E-2"/>
              <c:y val="2.0921924733924823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4539319572974085E-3"/>
              <c:y val="-8.155260331662086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9592985288459133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969473896634407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41884210381181E-2"/>
              <c:y val="2.0921924733924823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9592985288459133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969473896634407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4539319572974085E-3"/>
              <c:y val="-8.155260331662086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938947793268815E-2"/>
              <c:y val="1.825934524432118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9491231610573452E-3"/>
              <c:y val="4.56483631108021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37498869917309E-2"/>
              <c:y val="-2.2267241705670936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0781151117760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3749886991734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dLbl>
          <c:idx val="0"/>
          <c:layout>
            <c:manualLayout>
              <c:x val="9.6484367936983048E-3"/>
              <c:y val="0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dLbl>
          <c:idx val="0"/>
          <c:layout>
            <c:manualLayout>
              <c:x val="1.1578124152437938E-2"/>
              <c:y val="0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dLbl>
          <c:idx val="0"/>
          <c:layout>
            <c:manualLayout>
              <c:x val="1.3507811511177605E-2"/>
              <c:y val="0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3.6188027290901589E-3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881431741806069E-2"/>
              <c:y val="1.34784519367066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3.6188027290901589E-3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881431741806069E-2"/>
              <c:y val="1.34784519367066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516003599062528"/>
          <c:y val="0.10298497005168897"/>
          <c:w val="0.77454809334084651"/>
          <c:h val="0.576810840269520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Utilization!$B$1</c:f>
              <c:strCache>
                <c:ptCount val="1"/>
                <c:pt idx="0">
                  <c:v>Capacity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2CD4-4CE1-B1EB-8C5F69B5C01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2CD4-4CE1-B1EB-8C5F69B5C014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CD4-4CE1-B1EB-8C5F69B5C01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CD4-4CE1-B1EB-8C5F69B5C014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2CD4-4CE1-B1EB-8C5F69B5C01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2CD4-4CE1-B1EB-8C5F69B5C014}"/>
              </c:ext>
            </c:extLst>
          </c:dPt>
          <c:dLbls>
            <c:dLbl>
              <c:idx val="2"/>
              <c:layout>
                <c:manualLayout>
                  <c:x val="-3.6188027290901589E-3"/>
                  <c:y val="2.64985135446699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CD4-4CE1-B1EB-8C5F69B5C014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Utilization!$A$2:$A$14</c:f>
              <c:multiLvlStrCache>
                <c:ptCount val="6"/>
                <c:lvl>
                  <c:pt idx="0">
                    <c:v>42%</c:v>
                  </c:pt>
                  <c:pt idx="1">
                    <c:v>72%</c:v>
                  </c:pt>
                  <c:pt idx="2">
                    <c:v>100%</c:v>
                  </c:pt>
                  <c:pt idx="3">
                    <c:v>47%</c:v>
                  </c:pt>
                  <c:pt idx="4">
                    <c:v>36%</c:v>
                  </c:pt>
                  <c:pt idx="5">
                    <c:v>60%</c:v>
                  </c:pt>
                </c:lvl>
                <c:lvl>
                  <c:pt idx="0">
                    <c:v>Expo Global Freeport </c:v>
                  </c:pt>
                  <c:pt idx="1">
                    <c:v>Hirdaramani Woven Client Warehouse </c:v>
                  </c:pt>
                  <c:pt idx="2">
                    <c:v>Kandana DC</c:v>
                  </c:pt>
                  <c:pt idx="3">
                    <c:v>Orugodawatta DC</c:v>
                  </c:pt>
                  <c:pt idx="4">
                    <c:v>Orugodawatta DC Cold Room </c:v>
                  </c:pt>
                  <c:pt idx="5">
                    <c:v>Peliyagoda DC</c:v>
                  </c:pt>
                </c:lvl>
              </c:multiLvlStrCache>
            </c:multiLvlStrRef>
          </c:cat>
          <c:val>
            <c:numRef>
              <c:f>Utilization!$B$2:$B$14</c:f>
              <c:numCache>
                <c:formatCode>General</c:formatCode>
                <c:ptCount val="6"/>
                <c:pt idx="0">
                  <c:v>21000</c:v>
                </c:pt>
                <c:pt idx="1">
                  <c:v>4300</c:v>
                </c:pt>
                <c:pt idx="2">
                  <c:v>7500</c:v>
                </c:pt>
                <c:pt idx="3">
                  <c:v>10300</c:v>
                </c:pt>
                <c:pt idx="4">
                  <c:v>100</c:v>
                </c:pt>
                <c:pt idx="5">
                  <c:v>10250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D4-4CE1-B1EB-8C5F69B5C014}"/>
            </c:ext>
          </c:extLst>
        </c:ser>
        <c:ser>
          <c:idx val="1"/>
          <c:order val="1"/>
          <c:tx>
            <c:strRef>
              <c:f>Utilization!$C$1</c:f>
              <c:strCache>
                <c:ptCount val="1"/>
                <c:pt idx="0">
                  <c:v>Occupancy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2CD4-4CE1-B1EB-8C5F69B5C01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2CD4-4CE1-B1EB-8C5F69B5C014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CD4-4CE1-B1EB-8C5F69B5C01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2CD4-4CE1-B1EB-8C5F69B5C014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2CD4-4CE1-B1EB-8C5F69B5C014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2CD4-4CE1-B1EB-8C5F69B5C01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2CD4-4CE1-B1EB-8C5F69B5C014}"/>
              </c:ext>
            </c:extLst>
          </c:dPt>
          <c:dLbls>
            <c:dLbl>
              <c:idx val="2"/>
              <c:layout>
                <c:manualLayout>
                  <c:x val="2.2881431741806069E-2"/>
                  <c:y val="1.34784519367066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CD4-4CE1-B1EB-8C5F69B5C014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Utilization!$A$2:$A$14</c:f>
              <c:multiLvlStrCache>
                <c:ptCount val="6"/>
                <c:lvl>
                  <c:pt idx="0">
                    <c:v>42%</c:v>
                  </c:pt>
                  <c:pt idx="1">
                    <c:v>72%</c:v>
                  </c:pt>
                  <c:pt idx="2">
                    <c:v>100%</c:v>
                  </c:pt>
                  <c:pt idx="3">
                    <c:v>47%</c:v>
                  </c:pt>
                  <c:pt idx="4">
                    <c:v>36%</c:v>
                  </c:pt>
                  <c:pt idx="5">
                    <c:v>60%</c:v>
                  </c:pt>
                </c:lvl>
                <c:lvl>
                  <c:pt idx="0">
                    <c:v>Expo Global Freeport </c:v>
                  </c:pt>
                  <c:pt idx="1">
                    <c:v>Hirdaramani Woven Client Warehouse </c:v>
                  </c:pt>
                  <c:pt idx="2">
                    <c:v>Kandana DC</c:v>
                  </c:pt>
                  <c:pt idx="3">
                    <c:v>Orugodawatta DC</c:v>
                  </c:pt>
                  <c:pt idx="4">
                    <c:v>Orugodawatta DC Cold Room </c:v>
                  </c:pt>
                  <c:pt idx="5">
                    <c:v>Peliyagoda DC</c:v>
                  </c:pt>
                </c:lvl>
              </c:multiLvlStrCache>
            </c:multiLvlStrRef>
          </c:cat>
          <c:val>
            <c:numRef>
              <c:f>Utilization!$C$2:$C$14</c:f>
              <c:numCache>
                <c:formatCode>General</c:formatCode>
                <c:ptCount val="6"/>
                <c:pt idx="0">
                  <c:v>8773.6718999999994</c:v>
                </c:pt>
                <c:pt idx="1">
                  <c:v>3114.8409999999999</c:v>
                </c:pt>
                <c:pt idx="2">
                  <c:v>7676.0394999999999</c:v>
                </c:pt>
                <c:pt idx="3">
                  <c:v>4837.7183473000014</c:v>
                </c:pt>
                <c:pt idx="4">
                  <c:v>36.439366699999859</c:v>
                </c:pt>
                <c:pt idx="5">
                  <c:v>6155.6408999999994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CD4-4CE1-B1EB-8C5F69B5C01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1644853616"/>
        <c:axId val="-1644859056"/>
      </c:barChart>
      <c:catAx>
        <c:axId val="-1644853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layout>
            <c:manualLayout>
              <c:xMode val="edge"/>
              <c:yMode val="edge"/>
              <c:x val="0.40575415573053369"/>
              <c:y val="0.90448765176282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9056"/>
        <c:crosses val="autoZero"/>
        <c:auto val="1"/>
        <c:lblAlgn val="ctr"/>
        <c:lblOffset val="100"/>
        <c:noMultiLvlLbl val="0"/>
      </c:catAx>
      <c:valAx>
        <c:axId val="-1644859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Sellable Space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WH (2)'!$ABK$85</c:f>
              <c:strCache>
                <c:ptCount val="1"/>
                <c:pt idx="0">
                  <c:v>Actual Sellable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WH (2)'!$ABE$86:$ABE$90</c:f>
              <c:strCache>
                <c:ptCount val="5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Orugodawatta DC Cold Room </c:v>
                </c:pt>
                <c:pt idx="4">
                  <c:v>Peliyagoda DC</c:v>
                </c:pt>
              </c:strCache>
            </c:strRef>
          </c:cat>
          <c:val>
            <c:numRef>
              <c:f>'All WH (2)'!$ABK$86:$ABK$90</c:f>
              <c:numCache>
                <c:formatCode>_(* #,##0_);_(* \(#,##0\);_(* "-"??_);_(@_)</c:formatCode>
                <c:ptCount val="5"/>
                <c:pt idx="0">
                  <c:v>11596.328100000001</c:v>
                </c:pt>
                <c:pt idx="1">
                  <c:v>0</c:v>
                </c:pt>
                <c:pt idx="2">
                  <c:v>4741.2816526999986</c:v>
                </c:pt>
                <c:pt idx="3">
                  <c:v>60.560633300000141</c:v>
                </c:pt>
                <c:pt idx="4">
                  <c:v>3786.8591000000006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B3-4435-988E-CAA36F9970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35997967"/>
        <c:axId val="45258927"/>
      </c:barChart>
      <c:catAx>
        <c:axId val="935997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8927"/>
        <c:crosses val="autoZero"/>
        <c:auto val="1"/>
        <c:lblAlgn val="ctr"/>
        <c:lblOffset val="100"/>
        <c:noMultiLvlLbl val="0"/>
      </c:catAx>
      <c:valAx>
        <c:axId val="45258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7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plant).xlsx]unoccupied cbm!PivotTable2</c:name>
    <c:fmtId val="20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Unoccupied Space   </a:t>
            </a:r>
          </a:p>
        </c:rich>
      </c:tx>
      <c:layout>
        <c:manualLayout>
          <c:xMode val="edge"/>
          <c:yMode val="edge"/>
          <c:x val="0.35487955429114243"/>
          <c:y val="3.27971133700515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</c:pivotFmt>
      <c:pivotFmt>
        <c:idx val="9"/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'unoccupied cbm'!$B$3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0166-4443-8E24-484D215F89E1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0166-4443-8E24-484D215F89E1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0166-4443-8E24-484D215F89E1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0166-4443-8E24-484D215F89E1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0166-4443-8E24-484D215F89E1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0166-4443-8E24-484D215F89E1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0166-4443-8E24-484D215F89E1}"/>
              </c:ext>
            </c:extLst>
          </c:dPt>
          <c:dLbls>
            <c:numFmt formatCode="_(* #,##0_);_(* \(#,##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'unoccupied cbm'!$A$4:$A$10</c:f>
              <c:strCache>
                <c:ptCount val="6"/>
                <c:pt idx="0">
                  <c:v>Expo Global Freeport </c:v>
                </c:pt>
                <c:pt idx="1">
                  <c:v>Hirdaramani Woven Client Warehouse </c:v>
                </c:pt>
                <c:pt idx="2">
                  <c:v>Kandana DC</c:v>
                </c:pt>
                <c:pt idx="3">
                  <c:v>Orugodawatta DC</c:v>
                </c:pt>
                <c:pt idx="4">
                  <c:v>Orugodawatta DC Cold Room </c:v>
                </c:pt>
                <c:pt idx="5">
                  <c:v>Peliyagoda DC</c:v>
                </c:pt>
              </c:strCache>
            </c:strRef>
          </c:cat>
          <c:val>
            <c:numRef>
              <c:f>'unoccupied cbm'!$B$4:$B$10</c:f>
              <c:numCache>
                <c:formatCode>General</c:formatCode>
                <c:ptCount val="6"/>
                <c:pt idx="0">
                  <c:v>12226.328100000001</c:v>
                </c:pt>
                <c:pt idx="1">
                  <c:v>1185.1590000000001</c:v>
                </c:pt>
                <c:pt idx="2">
                  <c:v>0</c:v>
                </c:pt>
                <c:pt idx="3">
                  <c:v>5462.2816526999986</c:v>
                </c:pt>
                <c:pt idx="4">
                  <c:v>63.560633300000141</c:v>
                </c:pt>
                <c:pt idx="5">
                  <c:v>4094.3591000000006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66-4443-8E24-484D215F89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644858512"/>
        <c:axId val="-1644857424"/>
      </c:barChart>
      <c:catAx>
        <c:axId val="-1644858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Distribution Centre</a:t>
                </a:r>
              </a:p>
            </c:rich>
          </c:tx>
          <c:layout>
            <c:manualLayout>
              <c:xMode val="edge"/>
              <c:yMode val="edge"/>
              <c:x val="0.47719825026935458"/>
              <c:y val="0.891562607213979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7424"/>
        <c:crosses val="autoZero"/>
        <c:auto val="1"/>
        <c:lblAlgn val="ctr"/>
        <c:lblOffset val="100"/>
        <c:noMultiLvlLbl val="0"/>
      </c:catAx>
      <c:valAx>
        <c:axId val="-1644857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rPr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plant).xlsx]WH Occu. trend Analysis!PivotTable2</c:name>
    <c:fmtId val="18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DC Occupancy - Trend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'WH Occu. trend Analysis'!$O$599</c:f>
              <c:strCache>
                <c:ptCount val="1"/>
                <c:pt idx="0">
                  <c:v>Expo Global Freeport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'WH Occu. trend Analysis'!$N$600:$N$850</c:f>
              <c:strCache>
                <c:ptCount val="250"/>
                <c:pt idx="0">
                  <c:v>7/4/2022</c:v>
                </c:pt>
                <c:pt idx="1">
                  <c:v>7/5/2022</c:v>
                </c:pt>
                <c:pt idx="2">
                  <c:v>7/6/2022</c:v>
                </c:pt>
                <c:pt idx="3">
                  <c:v>7/7/2022</c:v>
                </c:pt>
                <c:pt idx="4">
                  <c:v>7/8/2022</c:v>
                </c:pt>
                <c:pt idx="5">
                  <c:v>7/11/2022</c:v>
                </c:pt>
                <c:pt idx="6">
                  <c:v>7/12/2022</c:v>
                </c:pt>
                <c:pt idx="7">
                  <c:v>7/14/2022</c:v>
                </c:pt>
                <c:pt idx="8">
                  <c:v>7/15/2022</c:v>
                </c:pt>
                <c:pt idx="9">
                  <c:v>7/18/2022</c:v>
                </c:pt>
                <c:pt idx="10">
                  <c:v>7/19/2022</c:v>
                </c:pt>
                <c:pt idx="11">
                  <c:v>7/20/2022</c:v>
                </c:pt>
                <c:pt idx="12">
                  <c:v>7/21/2022</c:v>
                </c:pt>
                <c:pt idx="13">
                  <c:v>7/22/2022</c:v>
                </c:pt>
                <c:pt idx="14">
                  <c:v>7/25/2022</c:v>
                </c:pt>
                <c:pt idx="15">
                  <c:v>7/26/2022</c:v>
                </c:pt>
                <c:pt idx="16">
                  <c:v>7/27/2022</c:v>
                </c:pt>
                <c:pt idx="17">
                  <c:v>7/28/2022</c:v>
                </c:pt>
                <c:pt idx="18">
                  <c:v>7/29/2022</c:v>
                </c:pt>
                <c:pt idx="19">
                  <c:v>8/1/2022</c:v>
                </c:pt>
                <c:pt idx="20">
                  <c:v>8/2/2022</c:v>
                </c:pt>
                <c:pt idx="21">
                  <c:v>8/3/2022</c:v>
                </c:pt>
                <c:pt idx="22">
                  <c:v>8/4/2022</c:v>
                </c:pt>
                <c:pt idx="23">
                  <c:v>8/5/2022</c:v>
                </c:pt>
                <c:pt idx="24">
                  <c:v>8/8/2022</c:v>
                </c:pt>
                <c:pt idx="25">
                  <c:v>8/9/2022</c:v>
                </c:pt>
                <c:pt idx="26">
                  <c:v>8/10/2022</c:v>
                </c:pt>
                <c:pt idx="27">
                  <c:v>8/15/2022</c:v>
                </c:pt>
                <c:pt idx="28">
                  <c:v>8/16/2022</c:v>
                </c:pt>
                <c:pt idx="29">
                  <c:v>8/17/2022</c:v>
                </c:pt>
                <c:pt idx="30">
                  <c:v>8/18/2022</c:v>
                </c:pt>
                <c:pt idx="31">
                  <c:v>8/19/2022</c:v>
                </c:pt>
                <c:pt idx="32">
                  <c:v>8/22/2022</c:v>
                </c:pt>
                <c:pt idx="33">
                  <c:v>8/23/2022</c:v>
                </c:pt>
                <c:pt idx="34">
                  <c:v>8/24/2022</c:v>
                </c:pt>
                <c:pt idx="35">
                  <c:v>8/25/2022</c:v>
                </c:pt>
                <c:pt idx="36">
                  <c:v>8/26/2022</c:v>
                </c:pt>
                <c:pt idx="37">
                  <c:v>8/29/2022</c:v>
                </c:pt>
                <c:pt idx="38">
                  <c:v>8/30/2022</c:v>
                </c:pt>
                <c:pt idx="39">
                  <c:v>8/31/2022</c:v>
                </c:pt>
                <c:pt idx="40">
                  <c:v>9/1/2022</c:v>
                </c:pt>
                <c:pt idx="41">
                  <c:v>9/2/2022</c:v>
                </c:pt>
                <c:pt idx="42">
                  <c:v>9/5/2022</c:v>
                </c:pt>
                <c:pt idx="43">
                  <c:v>9/6/2022</c:v>
                </c:pt>
                <c:pt idx="44">
                  <c:v>9/7/2022</c:v>
                </c:pt>
                <c:pt idx="45">
                  <c:v>9/9/2022</c:v>
                </c:pt>
                <c:pt idx="46">
                  <c:v>9/13/2022</c:v>
                </c:pt>
                <c:pt idx="47">
                  <c:v>9/14/2022</c:v>
                </c:pt>
                <c:pt idx="48">
                  <c:v>9/15/2022</c:v>
                </c:pt>
                <c:pt idx="49">
                  <c:v>9/16/2022</c:v>
                </c:pt>
                <c:pt idx="50">
                  <c:v>9/19/2022</c:v>
                </c:pt>
                <c:pt idx="51">
                  <c:v>9/20/2022</c:v>
                </c:pt>
                <c:pt idx="52">
                  <c:v>9/21/2022</c:v>
                </c:pt>
                <c:pt idx="53">
                  <c:v>9/22/2022</c:v>
                </c:pt>
                <c:pt idx="54">
                  <c:v>9/23/2022</c:v>
                </c:pt>
                <c:pt idx="55">
                  <c:v>9/26/2022</c:v>
                </c:pt>
                <c:pt idx="56">
                  <c:v>9/27/2022</c:v>
                </c:pt>
                <c:pt idx="57">
                  <c:v>9/28/2022</c:v>
                </c:pt>
                <c:pt idx="58">
                  <c:v>9/29/2022</c:v>
                </c:pt>
                <c:pt idx="59">
                  <c:v>9/30/2022</c:v>
                </c:pt>
                <c:pt idx="60">
                  <c:v>10/3/2022</c:v>
                </c:pt>
                <c:pt idx="61">
                  <c:v>10/4/2022</c:v>
                </c:pt>
                <c:pt idx="62">
                  <c:v>10/5/2022</c:v>
                </c:pt>
                <c:pt idx="63">
                  <c:v>10/6/2022</c:v>
                </c:pt>
                <c:pt idx="64">
                  <c:v>10/7/2022</c:v>
                </c:pt>
                <c:pt idx="65">
                  <c:v>10/10/2022</c:v>
                </c:pt>
                <c:pt idx="66">
                  <c:v>10/11/2022</c:v>
                </c:pt>
                <c:pt idx="67">
                  <c:v>10/12/2022</c:v>
                </c:pt>
                <c:pt idx="68">
                  <c:v>10/13/2022</c:v>
                </c:pt>
                <c:pt idx="69">
                  <c:v>10/14/2022</c:v>
                </c:pt>
                <c:pt idx="70">
                  <c:v>10/17/2022</c:v>
                </c:pt>
                <c:pt idx="71">
                  <c:v>10/18/2022</c:v>
                </c:pt>
                <c:pt idx="72">
                  <c:v>10/19/2022</c:v>
                </c:pt>
                <c:pt idx="73">
                  <c:v>10/20/2022</c:v>
                </c:pt>
                <c:pt idx="74">
                  <c:v>10/21/2022</c:v>
                </c:pt>
                <c:pt idx="75">
                  <c:v>10/24/2022</c:v>
                </c:pt>
                <c:pt idx="76">
                  <c:v>10/25/2022</c:v>
                </c:pt>
                <c:pt idx="77">
                  <c:v>10/26/2022</c:v>
                </c:pt>
                <c:pt idx="78">
                  <c:v>10/27/2022</c:v>
                </c:pt>
                <c:pt idx="79">
                  <c:v>10/28/2022</c:v>
                </c:pt>
                <c:pt idx="80">
                  <c:v>10/31/2022</c:v>
                </c:pt>
                <c:pt idx="81">
                  <c:v>11/1/2022</c:v>
                </c:pt>
                <c:pt idx="82">
                  <c:v>11/2/2022</c:v>
                </c:pt>
                <c:pt idx="83">
                  <c:v>11/3/2022</c:v>
                </c:pt>
                <c:pt idx="84">
                  <c:v>11/4/2022</c:v>
                </c:pt>
                <c:pt idx="85">
                  <c:v>11/8/2022</c:v>
                </c:pt>
                <c:pt idx="86">
                  <c:v>11/9/2022</c:v>
                </c:pt>
                <c:pt idx="87">
                  <c:v>11/10/2022</c:v>
                </c:pt>
                <c:pt idx="88">
                  <c:v>11/11/2022</c:v>
                </c:pt>
                <c:pt idx="89">
                  <c:v>11/15/2022</c:v>
                </c:pt>
                <c:pt idx="90">
                  <c:v>11/16/2022</c:v>
                </c:pt>
                <c:pt idx="91">
                  <c:v>11/17/2022</c:v>
                </c:pt>
                <c:pt idx="92">
                  <c:v>11/18/2022</c:v>
                </c:pt>
                <c:pt idx="93">
                  <c:v>11/21/2022</c:v>
                </c:pt>
                <c:pt idx="94">
                  <c:v>11/22/2022</c:v>
                </c:pt>
                <c:pt idx="95">
                  <c:v>11/23/2022</c:v>
                </c:pt>
                <c:pt idx="96">
                  <c:v>11/24/2022</c:v>
                </c:pt>
                <c:pt idx="97">
                  <c:v>11/25/2022</c:v>
                </c:pt>
                <c:pt idx="98">
                  <c:v>11/28/2022</c:v>
                </c:pt>
                <c:pt idx="99">
                  <c:v>11/30/2022</c:v>
                </c:pt>
                <c:pt idx="100">
                  <c:v>12/1/2022</c:v>
                </c:pt>
                <c:pt idx="101">
                  <c:v>12/2/2022</c:v>
                </c:pt>
                <c:pt idx="102">
                  <c:v>12/5/2022</c:v>
                </c:pt>
                <c:pt idx="103">
                  <c:v>12/6/2022</c:v>
                </c:pt>
                <c:pt idx="104">
                  <c:v>12/8/2022</c:v>
                </c:pt>
                <c:pt idx="105">
                  <c:v>12/9/2022</c:v>
                </c:pt>
                <c:pt idx="106">
                  <c:v>12/12/2022</c:v>
                </c:pt>
                <c:pt idx="107">
                  <c:v>12/13/2022</c:v>
                </c:pt>
                <c:pt idx="108">
                  <c:v>12/14/2022</c:v>
                </c:pt>
                <c:pt idx="109">
                  <c:v>12/15/2022</c:v>
                </c:pt>
                <c:pt idx="110">
                  <c:v>12/16/2022</c:v>
                </c:pt>
                <c:pt idx="111">
                  <c:v>12/19/2022</c:v>
                </c:pt>
                <c:pt idx="112">
                  <c:v>12/20/2022</c:v>
                </c:pt>
                <c:pt idx="113">
                  <c:v>12/22/2022</c:v>
                </c:pt>
                <c:pt idx="114">
                  <c:v>12/23/2022</c:v>
                </c:pt>
                <c:pt idx="115">
                  <c:v>12/27/2022</c:v>
                </c:pt>
                <c:pt idx="116">
                  <c:v>12/28/2022</c:v>
                </c:pt>
                <c:pt idx="117">
                  <c:v>12/29/2022</c:v>
                </c:pt>
                <c:pt idx="118">
                  <c:v>12/30/2022</c:v>
                </c:pt>
                <c:pt idx="119">
                  <c:v>1/2/2023</c:v>
                </c:pt>
                <c:pt idx="120">
                  <c:v>1/3/2023</c:v>
                </c:pt>
                <c:pt idx="121">
                  <c:v>1/4/2023</c:v>
                </c:pt>
                <c:pt idx="122">
                  <c:v>1/5/2023</c:v>
                </c:pt>
                <c:pt idx="123">
                  <c:v>1/9/2023</c:v>
                </c:pt>
                <c:pt idx="124">
                  <c:v>1/10/2023</c:v>
                </c:pt>
                <c:pt idx="125">
                  <c:v>1/11/2023</c:v>
                </c:pt>
                <c:pt idx="126">
                  <c:v>1/12/2023</c:v>
                </c:pt>
                <c:pt idx="127">
                  <c:v>1/13/2023</c:v>
                </c:pt>
                <c:pt idx="128">
                  <c:v>1/16/2023</c:v>
                </c:pt>
                <c:pt idx="129">
                  <c:v>1/17/2023</c:v>
                </c:pt>
                <c:pt idx="130">
                  <c:v>1/18/2023</c:v>
                </c:pt>
                <c:pt idx="131">
                  <c:v>1/19/2023</c:v>
                </c:pt>
                <c:pt idx="132">
                  <c:v>1/20/2023</c:v>
                </c:pt>
                <c:pt idx="133">
                  <c:v>1/23/2023</c:v>
                </c:pt>
                <c:pt idx="134">
                  <c:v>1/24/2023</c:v>
                </c:pt>
                <c:pt idx="135">
                  <c:v>1/25/2023</c:v>
                </c:pt>
                <c:pt idx="136">
                  <c:v>1/26/2023</c:v>
                </c:pt>
                <c:pt idx="137">
                  <c:v>1/27/2023</c:v>
                </c:pt>
                <c:pt idx="138">
                  <c:v>1/30/2023</c:v>
                </c:pt>
                <c:pt idx="139">
                  <c:v>1/31/2023</c:v>
                </c:pt>
                <c:pt idx="140">
                  <c:v>2/1/2023</c:v>
                </c:pt>
                <c:pt idx="141">
                  <c:v>2/2/2023</c:v>
                </c:pt>
                <c:pt idx="142">
                  <c:v>2/3/2023</c:v>
                </c:pt>
                <c:pt idx="143">
                  <c:v>2/6/2023</c:v>
                </c:pt>
                <c:pt idx="144">
                  <c:v>2/7/2023</c:v>
                </c:pt>
                <c:pt idx="145">
                  <c:v>2/8/2023</c:v>
                </c:pt>
                <c:pt idx="146">
                  <c:v>2/9/2023</c:v>
                </c:pt>
                <c:pt idx="147">
                  <c:v>2/10/2023</c:v>
                </c:pt>
                <c:pt idx="148">
                  <c:v>2/13/2023</c:v>
                </c:pt>
                <c:pt idx="149">
                  <c:v>2/14/2023</c:v>
                </c:pt>
                <c:pt idx="150">
                  <c:v>2/15/2023</c:v>
                </c:pt>
                <c:pt idx="151">
                  <c:v>2/16/2023</c:v>
                </c:pt>
                <c:pt idx="152">
                  <c:v>2/17/2023</c:v>
                </c:pt>
                <c:pt idx="153">
                  <c:v>2/20/2023</c:v>
                </c:pt>
                <c:pt idx="154">
                  <c:v>2/21/2023</c:v>
                </c:pt>
                <c:pt idx="155">
                  <c:v>2/22/2023</c:v>
                </c:pt>
                <c:pt idx="156">
                  <c:v>2/23/2023</c:v>
                </c:pt>
                <c:pt idx="157">
                  <c:v>2/24/2023</c:v>
                </c:pt>
                <c:pt idx="158">
                  <c:v>2/27/2023</c:v>
                </c:pt>
                <c:pt idx="159">
                  <c:v>2/28/2023</c:v>
                </c:pt>
                <c:pt idx="160">
                  <c:v>3/1/2023</c:v>
                </c:pt>
                <c:pt idx="161">
                  <c:v>3/2/2023</c:v>
                </c:pt>
                <c:pt idx="162">
                  <c:v>3/3/2023</c:v>
                </c:pt>
                <c:pt idx="163">
                  <c:v>3/7/2023</c:v>
                </c:pt>
                <c:pt idx="164">
                  <c:v>3/8/2023</c:v>
                </c:pt>
                <c:pt idx="165">
                  <c:v>3/9/2023</c:v>
                </c:pt>
                <c:pt idx="166">
                  <c:v>3/10/2023</c:v>
                </c:pt>
                <c:pt idx="167">
                  <c:v>3/13/2023</c:v>
                </c:pt>
                <c:pt idx="168">
                  <c:v>3/14/2023</c:v>
                </c:pt>
                <c:pt idx="169">
                  <c:v>3/15/2023</c:v>
                </c:pt>
                <c:pt idx="170">
                  <c:v>3/16/2023</c:v>
                </c:pt>
                <c:pt idx="171">
                  <c:v>3/17/2023</c:v>
                </c:pt>
                <c:pt idx="172">
                  <c:v>3/20/2023</c:v>
                </c:pt>
                <c:pt idx="173">
                  <c:v>3/21/2023</c:v>
                </c:pt>
                <c:pt idx="174">
                  <c:v>3/22/2023</c:v>
                </c:pt>
                <c:pt idx="175">
                  <c:v>3/23/2023</c:v>
                </c:pt>
                <c:pt idx="176">
                  <c:v>3/24/2023</c:v>
                </c:pt>
                <c:pt idx="177">
                  <c:v>3/27/2023</c:v>
                </c:pt>
                <c:pt idx="178">
                  <c:v>3/28/2023</c:v>
                </c:pt>
                <c:pt idx="179">
                  <c:v>3/29/2023</c:v>
                </c:pt>
                <c:pt idx="180">
                  <c:v>3/30/2023</c:v>
                </c:pt>
                <c:pt idx="181">
                  <c:v>3/31/2023</c:v>
                </c:pt>
                <c:pt idx="182">
                  <c:v>4/3/2023</c:v>
                </c:pt>
                <c:pt idx="183">
                  <c:v>4/4/2023</c:v>
                </c:pt>
                <c:pt idx="184">
                  <c:v>4/6/2023</c:v>
                </c:pt>
                <c:pt idx="185">
                  <c:v>4/7/2023</c:v>
                </c:pt>
                <c:pt idx="186">
                  <c:v>4/10/2023</c:v>
                </c:pt>
                <c:pt idx="187">
                  <c:v>4/17/2023</c:v>
                </c:pt>
                <c:pt idx="188">
                  <c:v>4/18/2023</c:v>
                </c:pt>
                <c:pt idx="189">
                  <c:v>4/19/2023</c:v>
                </c:pt>
                <c:pt idx="190">
                  <c:v>4/20/2023</c:v>
                </c:pt>
                <c:pt idx="191">
                  <c:v>4/21/2023</c:v>
                </c:pt>
                <c:pt idx="192">
                  <c:v>4/24/2023</c:v>
                </c:pt>
                <c:pt idx="193">
                  <c:v>4/25/2023</c:v>
                </c:pt>
                <c:pt idx="194">
                  <c:v>4/26/2023</c:v>
                </c:pt>
                <c:pt idx="195">
                  <c:v>4/27/2023</c:v>
                </c:pt>
                <c:pt idx="196">
                  <c:v>4/28/2023</c:v>
                </c:pt>
                <c:pt idx="197">
                  <c:v>5/2/2023</c:v>
                </c:pt>
                <c:pt idx="198">
                  <c:v>5/3/2023</c:v>
                </c:pt>
                <c:pt idx="199">
                  <c:v>5/4/2023</c:v>
                </c:pt>
                <c:pt idx="200">
                  <c:v>5/8/2023</c:v>
                </c:pt>
                <c:pt idx="201">
                  <c:v>5/9/2023</c:v>
                </c:pt>
                <c:pt idx="202">
                  <c:v>5/10/2023</c:v>
                </c:pt>
                <c:pt idx="203">
                  <c:v>5/11/2023</c:v>
                </c:pt>
                <c:pt idx="204">
                  <c:v>5/12/2023</c:v>
                </c:pt>
                <c:pt idx="205">
                  <c:v>5/15/2023</c:v>
                </c:pt>
                <c:pt idx="206">
                  <c:v>5/16/2023</c:v>
                </c:pt>
                <c:pt idx="207">
                  <c:v>5/17/2023</c:v>
                </c:pt>
                <c:pt idx="208">
                  <c:v>5/18/2023</c:v>
                </c:pt>
                <c:pt idx="209">
                  <c:v>5/19/2023</c:v>
                </c:pt>
                <c:pt idx="210">
                  <c:v>5/22/2023</c:v>
                </c:pt>
                <c:pt idx="211">
                  <c:v>5/23/2023</c:v>
                </c:pt>
                <c:pt idx="212">
                  <c:v>5/24/2023</c:v>
                </c:pt>
                <c:pt idx="213">
                  <c:v>5/25/2023</c:v>
                </c:pt>
                <c:pt idx="214">
                  <c:v>5/26/2023</c:v>
                </c:pt>
                <c:pt idx="215">
                  <c:v>5/29/2023</c:v>
                </c:pt>
                <c:pt idx="216">
                  <c:v>5/30/2023</c:v>
                </c:pt>
                <c:pt idx="217">
                  <c:v>5/31/2023</c:v>
                </c:pt>
                <c:pt idx="218">
                  <c:v>6/1/2023</c:v>
                </c:pt>
                <c:pt idx="219">
                  <c:v>6/2/2023</c:v>
                </c:pt>
                <c:pt idx="220">
                  <c:v>6/5/2023</c:v>
                </c:pt>
                <c:pt idx="221">
                  <c:v>6/6/2023</c:v>
                </c:pt>
                <c:pt idx="222">
                  <c:v>6/7/2023</c:v>
                </c:pt>
                <c:pt idx="223">
                  <c:v>6/8/2023</c:v>
                </c:pt>
                <c:pt idx="224">
                  <c:v>6/9/2023</c:v>
                </c:pt>
                <c:pt idx="225">
                  <c:v>6/12/2023</c:v>
                </c:pt>
                <c:pt idx="226">
                  <c:v>6/14/2023</c:v>
                </c:pt>
                <c:pt idx="227">
                  <c:v>6/15/2023</c:v>
                </c:pt>
                <c:pt idx="228">
                  <c:v>6/16/2023</c:v>
                </c:pt>
                <c:pt idx="229">
                  <c:v>6/19/2023</c:v>
                </c:pt>
                <c:pt idx="230">
                  <c:v>6/20/2023</c:v>
                </c:pt>
                <c:pt idx="231">
                  <c:v>6/21/2023</c:v>
                </c:pt>
                <c:pt idx="232">
                  <c:v>6/22/2023</c:v>
                </c:pt>
                <c:pt idx="233">
                  <c:v>6/23/2023</c:v>
                </c:pt>
                <c:pt idx="234">
                  <c:v>6/26/2023</c:v>
                </c:pt>
                <c:pt idx="235">
                  <c:v>6/27/2023</c:v>
                </c:pt>
                <c:pt idx="236">
                  <c:v>6/28/2023</c:v>
                </c:pt>
                <c:pt idx="237">
                  <c:v>6/29/2023</c:v>
                </c:pt>
                <c:pt idx="238">
                  <c:v>6/30/2023</c:v>
                </c:pt>
                <c:pt idx="239">
                  <c:v>7/4/2023</c:v>
                </c:pt>
                <c:pt idx="240">
                  <c:v>7/5/2023</c:v>
                </c:pt>
                <c:pt idx="241">
                  <c:v>7/6/2023</c:v>
                </c:pt>
                <c:pt idx="242">
                  <c:v>7/7/2023</c:v>
                </c:pt>
                <c:pt idx="243">
                  <c:v>7/10/2023</c:v>
                </c:pt>
                <c:pt idx="244">
                  <c:v>7/11/2023</c:v>
                </c:pt>
                <c:pt idx="245">
                  <c:v>7/12/2023</c:v>
                </c:pt>
                <c:pt idx="246">
                  <c:v>7/13/2023</c:v>
                </c:pt>
                <c:pt idx="247">
                  <c:v>7/14/2023</c:v>
                </c:pt>
                <c:pt idx="248">
                  <c:v>7/17/2023</c:v>
                </c:pt>
                <c:pt idx="249">
                  <c:v>7/21/2023</c:v>
                </c:pt>
              </c:strCache>
            </c:strRef>
          </c:cat>
          <c:val>
            <c:numRef>
              <c:f>'WH Occu. trend Analysis'!$O$600:$O$850</c:f>
              <c:numCache>
                <c:formatCode>General</c:formatCode>
                <c:ptCount val="250"/>
                <c:pt idx="0">
                  <c:v>17714.587950000008</c:v>
                </c:pt>
                <c:pt idx="1">
                  <c:v>17489.783350000002</c:v>
                </c:pt>
                <c:pt idx="2">
                  <c:v>18075.940549999999</c:v>
                </c:pt>
                <c:pt idx="3">
                  <c:v>18032.030549999989</c:v>
                </c:pt>
                <c:pt idx="4">
                  <c:v>17424.343349999988</c:v>
                </c:pt>
                <c:pt idx="5">
                  <c:v>18032.030549999989</c:v>
                </c:pt>
                <c:pt idx="6">
                  <c:v>16697.927449999985</c:v>
                </c:pt>
                <c:pt idx="7">
                  <c:v>16241.971649999989</c:v>
                </c:pt>
                <c:pt idx="8">
                  <c:v>17201.614549999984</c:v>
                </c:pt>
                <c:pt idx="9">
                  <c:v>16106.787549999994</c:v>
                </c:pt>
                <c:pt idx="10">
                  <c:v>15872.608549999992</c:v>
                </c:pt>
                <c:pt idx="11">
                  <c:v>16047.048099999998</c:v>
                </c:pt>
                <c:pt idx="12">
                  <c:v>15798.015599999992</c:v>
                </c:pt>
                <c:pt idx="13">
                  <c:v>15734.979899999989</c:v>
                </c:pt>
                <c:pt idx="14">
                  <c:v>15435.077400000002</c:v>
                </c:pt>
                <c:pt idx="15">
                  <c:v>15334.059599999999</c:v>
                </c:pt>
                <c:pt idx="16">
                  <c:v>15426.221299999999</c:v>
                </c:pt>
                <c:pt idx="17">
                  <c:v>15302.587249999991</c:v>
                </c:pt>
                <c:pt idx="18">
                  <c:v>15375.083499999993</c:v>
                </c:pt>
                <c:pt idx="19">
                  <c:v>15572.845900000002</c:v>
                </c:pt>
                <c:pt idx="20">
                  <c:v>15226.638899999996</c:v>
                </c:pt>
                <c:pt idx="21">
                  <c:v>15487.296049999988</c:v>
                </c:pt>
                <c:pt idx="22">
                  <c:v>14998.620749999991</c:v>
                </c:pt>
                <c:pt idx="23">
                  <c:v>14810.987250000004</c:v>
                </c:pt>
                <c:pt idx="24">
                  <c:v>14177.244050000005</c:v>
                </c:pt>
                <c:pt idx="25">
                  <c:v>14245.983150000009</c:v>
                </c:pt>
                <c:pt idx="26">
                  <c:v>14412.517000000005</c:v>
                </c:pt>
                <c:pt idx="27">
                  <c:v>14255.263400000005</c:v>
                </c:pt>
                <c:pt idx="28">
                  <c:v>14382.347900000002</c:v>
                </c:pt>
                <c:pt idx="29">
                  <c:v>14252.435500000001</c:v>
                </c:pt>
                <c:pt idx="30">
                  <c:v>14555.194199999998</c:v>
                </c:pt>
                <c:pt idx="31">
                  <c:v>14660.986100000007</c:v>
                </c:pt>
                <c:pt idx="32">
                  <c:v>13603.230600000001</c:v>
                </c:pt>
                <c:pt idx="33">
                  <c:v>13725.270500000002</c:v>
                </c:pt>
                <c:pt idx="34">
                  <c:v>13639.087500000001</c:v>
                </c:pt>
                <c:pt idx="35">
                  <c:v>13679.052100000006</c:v>
                </c:pt>
                <c:pt idx="36">
                  <c:v>13708</c:v>
                </c:pt>
                <c:pt idx="37">
                  <c:v>13477.094200000007</c:v>
                </c:pt>
                <c:pt idx="38">
                  <c:v>13524.797700000003</c:v>
                </c:pt>
                <c:pt idx="39">
                  <c:v>13593.508300000005</c:v>
                </c:pt>
                <c:pt idx="40">
                  <c:v>13660.574900000003</c:v>
                </c:pt>
                <c:pt idx="41">
                  <c:v>14071</c:v>
                </c:pt>
                <c:pt idx="42">
                  <c:v>14293.175799999997</c:v>
                </c:pt>
                <c:pt idx="43">
                  <c:v>14363.189200000001</c:v>
                </c:pt>
                <c:pt idx="44">
                  <c:v>14388.751999999997</c:v>
                </c:pt>
                <c:pt idx="45">
                  <c:v>14619.317899999998</c:v>
                </c:pt>
                <c:pt idx="46">
                  <c:v>14766</c:v>
                </c:pt>
                <c:pt idx="47">
                  <c:v>15055.165800000002</c:v>
                </c:pt>
                <c:pt idx="48">
                  <c:v>15081.017100000001</c:v>
                </c:pt>
                <c:pt idx="49">
                  <c:v>15111.514800000003</c:v>
                </c:pt>
                <c:pt idx="50">
                  <c:v>14457.796599999998</c:v>
                </c:pt>
                <c:pt idx="51">
                  <c:v>14570.085600000002</c:v>
                </c:pt>
                <c:pt idx="52">
                  <c:v>14751.837500000001</c:v>
                </c:pt>
                <c:pt idx="53">
                  <c:v>14935.051700000002</c:v>
                </c:pt>
                <c:pt idx="54">
                  <c:v>15452</c:v>
                </c:pt>
                <c:pt idx="55">
                  <c:v>15181.826400000005</c:v>
                </c:pt>
                <c:pt idx="56">
                  <c:v>16043</c:v>
                </c:pt>
                <c:pt idx="57">
                  <c:v>16308</c:v>
                </c:pt>
                <c:pt idx="58">
                  <c:v>16543</c:v>
                </c:pt>
                <c:pt idx="59">
                  <c:v>16791</c:v>
                </c:pt>
                <c:pt idx="60">
                  <c:v>15925</c:v>
                </c:pt>
                <c:pt idx="61">
                  <c:v>15542</c:v>
                </c:pt>
                <c:pt idx="62">
                  <c:v>15309</c:v>
                </c:pt>
                <c:pt idx="63">
                  <c:v>14800</c:v>
                </c:pt>
                <c:pt idx="64">
                  <c:v>14746</c:v>
                </c:pt>
                <c:pt idx="65">
                  <c:v>14252</c:v>
                </c:pt>
                <c:pt idx="66">
                  <c:v>14195</c:v>
                </c:pt>
                <c:pt idx="67">
                  <c:v>14296</c:v>
                </c:pt>
                <c:pt idx="68">
                  <c:v>14235</c:v>
                </c:pt>
                <c:pt idx="69">
                  <c:v>14425</c:v>
                </c:pt>
                <c:pt idx="70">
                  <c:v>14084</c:v>
                </c:pt>
                <c:pt idx="71">
                  <c:v>14160</c:v>
                </c:pt>
                <c:pt idx="72">
                  <c:v>13959</c:v>
                </c:pt>
                <c:pt idx="73">
                  <c:v>13790</c:v>
                </c:pt>
                <c:pt idx="74">
                  <c:v>13987</c:v>
                </c:pt>
                <c:pt idx="75">
                  <c:v>13694</c:v>
                </c:pt>
                <c:pt idx="76">
                  <c:v>13723</c:v>
                </c:pt>
                <c:pt idx="77">
                  <c:v>13755</c:v>
                </c:pt>
                <c:pt idx="78">
                  <c:v>13778</c:v>
                </c:pt>
                <c:pt idx="79">
                  <c:v>13796</c:v>
                </c:pt>
                <c:pt idx="80">
                  <c:v>13016</c:v>
                </c:pt>
                <c:pt idx="81">
                  <c:v>12341</c:v>
                </c:pt>
                <c:pt idx="82">
                  <c:v>12475</c:v>
                </c:pt>
                <c:pt idx="83">
                  <c:v>12230</c:v>
                </c:pt>
                <c:pt idx="84">
                  <c:v>12306</c:v>
                </c:pt>
                <c:pt idx="85">
                  <c:v>11943</c:v>
                </c:pt>
                <c:pt idx="86">
                  <c:v>11765</c:v>
                </c:pt>
                <c:pt idx="87">
                  <c:v>11967</c:v>
                </c:pt>
                <c:pt idx="88">
                  <c:v>12450</c:v>
                </c:pt>
                <c:pt idx="89">
                  <c:v>12183</c:v>
                </c:pt>
                <c:pt idx="90">
                  <c:v>12133</c:v>
                </c:pt>
                <c:pt idx="91">
                  <c:v>12155</c:v>
                </c:pt>
                <c:pt idx="92">
                  <c:v>11711</c:v>
                </c:pt>
                <c:pt idx="93">
                  <c:v>11813</c:v>
                </c:pt>
                <c:pt idx="94">
                  <c:v>12145</c:v>
                </c:pt>
                <c:pt idx="95">
                  <c:v>12194</c:v>
                </c:pt>
                <c:pt idx="96">
                  <c:v>12334</c:v>
                </c:pt>
                <c:pt idx="97">
                  <c:v>11812</c:v>
                </c:pt>
                <c:pt idx="98">
                  <c:v>11558</c:v>
                </c:pt>
                <c:pt idx="99">
                  <c:v>11771</c:v>
                </c:pt>
                <c:pt idx="100">
                  <c:v>11808</c:v>
                </c:pt>
                <c:pt idx="101">
                  <c:v>11584</c:v>
                </c:pt>
                <c:pt idx="102">
                  <c:v>10987</c:v>
                </c:pt>
                <c:pt idx="103">
                  <c:v>11099</c:v>
                </c:pt>
                <c:pt idx="104">
                  <c:v>11012</c:v>
                </c:pt>
                <c:pt idx="105">
                  <c:v>10990</c:v>
                </c:pt>
                <c:pt idx="106">
                  <c:v>10898</c:v>
                </c:pt>
                <c:pt idx="107">
                  <c:v>10783</c:v>
                </c:pt>
                <c:pt idx="108">
                  <c:v>10401</c:v>
                </c:pt>
                <c:pt idx="109">
                  <c:v>10302</c:v>
                </c:pt>
                <c:pt idx="110">
                  <c:v>10151</c:v>
                </c:pt>
                <c:pt idx="111">
                  <c:v>10110</c:v>
                </c:pt>
                <c:pt idx="112">
                  <c:v>10077</c:v>
                </c:pt>
                <c:pt idx="113">
                  <c:v>9509</c:v>
                </c:pt>
                <c:pt idx="114">
                  <c:v>9080</c:v>
                </c:pt>
                <c:pt idx="115">
                  <c:v>8706</c:v>
                </c:pt>
                <c:pt idx="116">
                  <c:v>8610</c:v>
                </c:pt>
                <c:pt idx="117">
                  <c:v>8942</c:v>
                </c:pt>
                <c:pt idx="118">
                  <c:v>9533</c:v>
                </c:pt>
                <c:pt idx="119">
                  <c:v>9718</c:v>
                </c:pt>
                <c:pt idx="120">
                  <c:v>9718</c:v>
                </c:pt>
                <c:pt idx="121">
                  <c:v>9911</c:v>
                </c:pt>
                <c:pt idx="122">
                  <c:v>9872</c:v>
                </c:pt>
                <c:pt idx="123">
                  <c:v>9496</c:v>
                </c:pt>
                <c:pt idx="124">
                  <c:v>9586</c:v>
                </c:pt>
                <c:pt idx="125">
                  <c:v>9842</c:v>
                </c:pt>
                <c:pt idx="126">
                  <c:v>9917</c:v>
                </c:pt>
                <c:pt idx="127">
                  <c:v>10166</c:v>
                </c:pt>
                <c:pt idx="128">
                  <c:v>10141</c:v>
                </c:pt>
                <c:pt idx="129">
                  <c:v>10175</c:v>
                </c:pt>
                <c:pt idx="130">
                  <c:v>9857</c:v>
                </c:pt>
                <c:pt idx="131">
                  <c:v>10161</c:v>
                </c:pt>
                <c:pt idx="132">
                  <c:v>10387</c:v>
                </c:pt>
                <c:pt idx="133">
                  <c:v>9385.8566000000028</c:v>
                </c:pt>
                <c:pt idx="134">
                  <c:v>9732.8757000000005</c:v>
                </c:pt>
                <c:pt idx="135">
                  <c:v>9641.5955999999987</c:v>
                </c:pt>
                <c:pt idx="136">
                  <c:v>9524.6154000000024</c:v>
                </c:pt>
                <c:pt idx="137">
                  <c:v>9759.1138999999985</c:v>
                </c:pt>
                <c:pt idx="138">
                  <c:v>9284.0187000000005</c:v>
                </c:pt>
                <c:pt idx="139">
                  <c:v>9193.4285999999975</c:v>
                </c:pt>
                <c:pt idx="140">
                  <c:v>9357.8394999999982</c:v>
                </c:pt>
                <c:pt idx="141">
                  <c:v>9429.3827999999994</c:v>
                </c:pt>
                <c:pt idx="142">
                  <c:v>9404.0398999999998</c:v>
                </c:pt>
                <c:pt idx="143">
                  <c:v>9272.0577000000012</c:v>
                </c:pt>
                <c:pt idx="144">
                  <c:v>9277.6173000000017</c:v>
                </c:pt>
                <c:pt idx="145">
                  <c:v>9531.9174999999977</c:v>
                </c:pt>
                <c:pt idx="146">
                  <c:v>9735.5318000000007</c:v>
                </c:pt>
                <c:pt idx="147">
                  <c:v>9867.3722000000016</c:v>
                </c:pt>
                <c:pt idx="148">
                  <c:v>9509.7607000000025</c:v>
                </c:pt>
                <c:pt idx="149">
                  <c:v>9604.0259000000005</c:v>
                </c:pt>
                <c:pt idx="150">
                  <c:v>9651.2631000000001</c:v>
                </c:pt>
                <c:pt idx="151">
                  <c:v>9515.9134999999987</c:v>
                </c:pt>
                <c:pt idx="152">
                  <c:v>9604.6658999999981</c:v>
                </c:pt>
                <c:pt idx="153">
                  <c:v>9577.6799000000028</c:v>
                </c:pt>
                <c:pt idx="154">
                  <c:v>9709.6698000000033</c:v>
                </c:pt>
                <c:pt idx="155">
                  <c:v>9837.8232000000025</c:v>
                </c:pt>
                <c:pt idx="156">
                  <c:v>9737.8243000000002</c:v>
                </c:pt>
                <c:pt idx="157">
                  <c:v>9769.0147000000015</c:v>
                </c:pt>
                <c:pt idx="158">
                  <c:v>9224.2665000000015</c:v>
                </c:pt>
                <c:pt idx="159">
                  <c:v>9293.7114000000001</c:v>
                </c:pt>
                <c:pt idx="160">
                  <c:v>9521.309500000003</c:v>
                </c:pt>
                <c:pt idx="161">
                  <c:v>10044.922799999998</c:v>
                </c:pt>
                <c:pt idx="162">
                  <c:v>10119.466899999999</c:v>
                </c:pt>
                <c:pt idx="163">
                  <c:v>9965.4011000000028</c:v>
                </c:pt>
                <c:pt idx="164">
                  <c:v>10031.633399999999</c:v>
                </c:pt>
                <c:pt idx="165">
                  <c:v>10080.408999999996</c:v>
                </c:pt>
                <c:pt idx="166">
                  <c:v>10198.810000000003</c:v>
                </c:pt>
                <c:pt idx="167">
                  <c:v>9692.2633999999998</c:v>
                </c:pt>
                <c:pt idx="168">
                  <c:v>9107.9066000000003</c:v>
                </c:pt>
                <c:pt idx="169">
                  <c:v>9079.7736999999961</c:v>
                </c:pt>
                <c:pt idx="170">
                  <c:v>8838.1919999999991</c:v>
                </c:pt>
                <c:pt idx="171">
                  <c:v>8804.3613999999998</c:v>
                </c:pt>
                <c:pt idx="172">
                  <c:v>8163.4295999999977</c:v>
                </c:pt>
                <c:pt idx="173">
                  <c:v>8140.7380000000003</c:v>
                </c:pt>
                <c:pt idx="174">
                  <c:v>8005.0807000000004</c:v>
                </c:pt>
                <c:pt idx="175">
                  <c:v>8147.2260000000006</c:v>
                </c:pt>
                <c:pt idx="176">
                  <c:v>8401.9766999999974</c:v>
                </c:pt>
                <c:pt idx="177">
                  <c:v>8209.2708999999995</c:v>
                </c:pt>
                <c:pt idx="178">
                  <c:v>8394.0383000000002</c:v>
                </c:pt>
                <c:pt idx="179">
                  <c:v>8292.9871999999996</c:v>
                </c:pt>
                <c:pt idx="180">
                  <c:v>8353.6795000000002</c:v>
                </c:pt>
                <c:pt idx="181">
                  <c:v>8500.8803000000007</c:v>
                </c:pt>
                <c:pt idx="182">
                  <c:v>8353.883600000001</c:v>
                </c:pt>
                <c:pt idx="183">
                  <c:v>8353.883600000001</c:v>
                </c:pt>
                <c:pt idx="184">
                  <c:v>8869.9628000000048</c:v>
                </c:pt>
                <c:pt idx="185">
                  <c:v>9003.1434999999965</c:v>
                </c:pt>
                <c:pt idx="186">
                  <c:v>8584.2172999999984</c:v>
                </c:pt>
                <c:pt idx="187">
                  <c:v>9298.1760999999988</c:v>
                </c:pt>
                <c:pt idx="188">
                  <c:v>9301.7802000000011</c:v>
                </c:pt>
                <c:pt idx="189">
                  <c:v>9433.7200999999986</c:v>
                </c:pt>
                <c:pt idx="190">
                  <c:v>9721.9777999999988</c:v>
                </c:pt>
                <c:pt idx="191">
                  <c:v>9986.1178</c:v>
                </c:pt>
                <c:pt idx="192">
                  <c:v>10097.686400000001</c:v>
                </c:pt>
                <c:pt idx="193">
                  <c:v>10198.591499999997</c:v>
                </c:pt>
                <c:pt idx="194">
                  <c:v>10198.591499999997</c:v>
                </c:pt>
                <c:pt idx="195">
                  <c:v>9923.7808999999979</c:v>
                </c:pt>
                <c:pt idx="196">
                  <c:v>9831.5429000000004</c:v>
                </c:pt>
                <c:pt idx="197">
                  <c:v>9359.0434999999998</c:v>
                </c:pt>
                <c:pt idx="198">
                  <c:v>9367.124600000001</c:v>
                </c:pt>
                <c:pt idx="199">
                  <c:v>9400.6466</c:v>
                </c:pt>
                <c:pt idx="200">
                  <c:v>9090.1086000000014</c:v>
                </c:pt>
                <c:pt idx="201">
                  <c:v>9179.9661000000015</c:v>
                </c:pt>
                <c:pt idx="202">
                  <c:v>9372.5158999999967</c:v>
                </c:pt>
                <c:pt idx="203">
                  <c:v>9643.2371000000021</c:v>
                </c:pt>
                <c:pt idx="204">
                  <c:v>9670.7586000000028</c:v>
                </c:pt>
                <c:pt idx="205">
                  <c:v>9794.0877999999993</c:v>
                </c:pt>
                <c:pt idx="206">
                  <c:v>9909.7851999999984</c:v>
                </c:pt>
                <c:pt idx="207">
                  <c:v>10361.989999999998</c:v>
                </c:pt>
                <c:pt idx="208">
                  <c:v>10536.749500000002</c:v>
                </c:pt>
                <c:pt idx="209">
                  <c:v>10786.9085</c:v>
                </c:pt>
                <c:pt idx="210">
                  <c:v>10233.215400000001</c:v>
                </c:pt>
                <c:pt idx="211">
                  <c:v>10226.328799999997</c:v>
                </c:pt>
                <c:pt idx="212">
                  <c:v>10390.059199999996</c:v>
                </c:pt>
                <c:pt idx="213">
                  <c:v>10342.199500000002</c:v>
                </c:pt>
                <c:pt idx="214">
                  <c:v>10362.195799999998</c:v>
                </c:pt>
                <c:pt idx="215">
                  <c:v>9900.7883000000002</c:v>
                </c:pt>
                <c:pt idx="216">
                  <c:v>10015.081499999997</c:v>
                </c:pt>
                <c:pt idx="217">
                  <c:v>10235.396499999999</c:v>
                </c:pt>
                <c:pt idx="218">
                  <c:v>10109.493999999999</c:v>
                </c:pt>
                <c:pt idx="219">
                  <c:v>10203.001200000001</c:v>
                </c:pt>
                <c:pt idx="220">
                  <c:v>10203.001200000001</c:v>
                </c:pt>
                <c:pt idx="221">
                  <c:v>10072.040099999998</c:v>
                </c:pt>
                <c:pt idx="222">
                  <c:v>10541.817899999998</c:v>
                </c:pt>
                <c:pt idx="223">
                  <c:v>10640.995499999999</c:v>
                </c:pt>
                <c:pt idx="224">
                  <c:v>11256.960700000003</c:v>
                </c:pt>
                <c:pt idx="225">
                  <c:v>10641.846600000004</c:v>
                </c:pt>
                <c:pt idx="226">
                  <c:v>10559.5926</c:v>
                </c:pt>
                <c:pt idx="227">
                  <c:v>10356.783899999999</c:v>
                </c:pt>
                <c:pt idx="228">
                  <c:v>10376.0442</c:v>
                </c:pt>
                <c:pt idx="229">
                  <c:v>9625.7346999999991</c:v>
                </c:pt>
                <c:pt idx="230">
                  <c:v>9845.1732999999986</c:v>
                </c:pt>
                <c:pt idx="231">
                  <c:v>10089.220799999996</c:v>
                </c:pt>
                <c:pt idx="232">
                  <c:v>10152.1718</c:v>
                </c:pt>
                <c:pt idx="233">
                  <c:v>10571.250100000003</c:v>
                </c:pt>
                <c:pt idx="234">
                  <c:v>10202.344400000004</c:v>
                </c:pt>
                <c:pt idx="235">
                  <c:v>9550.8622000000014</c:v>
                </c:pt>
                <c:pt idx="236">
                  <c:v>9809.8439999999991</c:v>
                </c:pt>
                <c:pt idx="237">
                  <c:v>9575.1305000000029</c:v>
                </c:pt>
                <c:pt idx="238">
                  <c:v>9664.0006999999987</c:v>
                </c:pt>
                <c:pt idx="239">
                  <c:v>9206.8131999999987</c:v>
                </c:pt>
                <c:pt idx="240">
                  <c:v>9347.7569000000021</c:v>
                </c:pt>
                <c:pt idx="241">
                  <c:v>9413.5653999999995</c:v>
                </c:pt>
                <c:pt idx="242">
                  <c:v>9557.8596000000034</c:v>
                </c:pt>
                <c:pt idx="243">
                  <c:v>9296.2079999999987</c:v>
                </c:pt>
                <c:pt idx="244">
                  <c:v>9412.108400000001</c:v>
                </c:pt>
                <c:pt idx="245">
                  <c:v>9661.4138999999996</c:v>
                </c:pt>
                <c:pt idx="246">
                  <c:v>9678.5208999999977</c:v>
                </c:pt>
                <c:pt idx="247">
                  <c:v>9547.1323999999986</c:v>
                </c:pt>
                <c:pt idx="248">
                  <c:v>9339.1203999999998</c:v>
                </c:pt>
                <c:pt idx="249">
                  <c:v>8773.6718999999994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EF-4D8D-AA29-3E9316D09C00}"/>
            </c:ext>
          </c:extLst>
        </c:ser>
        <c:ser>
          <c:idx val="1"/>
          <c:order val="1"/>
          <c:tx>
            <c:strRef>
              <c:f>'WH Occu. trend Analysis'!$P$599</c:f>
              <c:strCache>
                <c:ptCount val="1"/>
                <c:pt idx="0">
                  <c:v>Kandana DC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'WH Occu. trend Analysis'!$N$600:$N$850</c:f>
              <c:strCache>
                <c:ptCount val="250"/>
                <c:pt idx="0">
                  <c:v>7/4/2022</c:v>
                </c:pt>
                <c:pt idx="1">
                  <c:v>7/5/2022</c:v>
                </c:pt>
                <c:pt idx="2">
                  <c:v>7/6/2022</c:v>
                </c:pt>
                <c:pt idx="3">
                  <c:v>7/7/2022</c:v>
                </c:pt>
                <c:pt idx="4">
                  <c:v>7/8/2022</c:v>
                </c:pt>
                <c:pt idx="5">
                  <c:v>7/11/2022</c:v>
                </c:pt>
                <c:pt idx="6">
                  <c:v>7/12/2022</c:v>
                </c:pt>
                <c:pt idx="7">
                  <c:v>7/14/2022</c:v>
                </c:pt>
                <c:pt idx="8">
                  <c:v>7/15/2022</c:v>
                </c:pt>
                <c:pt idx="9">
                  <c:v>7/18/2022</c:v>
                </c:pt>
                <c:pt idx="10">
                  <c:v>7/19/2022</c:v>
                </c:pt>
                <c:pt idx="11">
                  <c:v>7/20/2022</c:v>
                </c:pt>
                <c:pt idx="12">
                  <c:v>7/21/2022</c:v>
                </c:pt>
                <c:pt idx="13">
                  <c:v>7/22/2022</c:v>
                </c:pt>
                <c:pt idx="14">
                  <c:v>7/25/2022</c:v>
                </c:pt>
                <c:pt idx="15">
                  <c:v>7/26/2022</c:v>
                </c:pt>
                <c:pt idx="16">
                  <c:v>7/27/2022</c:v>
                </c:pt>
                <c:pt idx="17">
                  <c:v>7/28/2022</c:v>
                </c:pt>
                <c:pt idx="18">
                  <c:v>7/29/2022</c:v>
                </c:pt>
                <c:pt idx="19">
                  <c:v>8/1/2022</c:v>
                </c:pt>
                <c:pt idx="20">
                  <c:v>8/2/2022</c:v>
                </c:pt>
                <c:pt idx="21">
                  <c:v>8/3/2022</c:v>
                </c:pt>
                <c:pt idx="22">
                  <c:v>8/4/2022</c:v>
                </c:pt>
                <c:pt idx="23">
                  <c:v>8/5/2022</c:v>
                </c:pt>
                <c:pt idx="24">
                  <c:v>8/8/2022</c:v>
                </c:pt>
                <c:pt idx="25">
                  <c:v>8/9/2022</c:v>
                </c:pt>
                <c:pt idx="26">
                  <c:v>8/10/2022</c:v>
                </c:pt>
                <c:pt idx="27">
                  <c:v>8/15/2022</c:v>
                </c:pt>
                <c:pt idx="28">
                  <c:v>8/16/2022</c:v>
                </c:pt>
                <c:pt idx="29">
                  <c:v>8/17/2022</c:v>
                </c:pt>
                <c:pt idx="30">
                  <c:v>8/18/2022</c:v>
                </c:pt>
                <c:pt idx="31">
                  <c:v>8/19/2022</c:v>
                </c:pt>
                <c:pt idx="32">
                  <c:v>8/22/2022</c:v>
                </c:pt>
                <c:pt idx="33">
                  <c:v>8/23/2022</c:v>
                </c:pt>
                <c:pt idx="34">
                  <c:v>8/24/2022</c:v>
                </c:pt>
                <c:pt idx="35">
                  <c:v>8/25/2022</c:v>
                </c:pt>
                <c:pt idx="36">
                  <c:v>8/26/2022</c:v>
                </c:pt>
                <c:pt idx="37">
                  <c:v>8/29/2022</c:v>
                </c:pt>
                <c:pt idx="38">
                  <c:v>8/30/2022</c:v>
                </c:pt>
                <c:pt idx="39">
                  <c:v>8/31/2022</c:v>
                </c:pt>
                <c:pt idx="40">
                  <c:v>9/1/2022</c:v>
                </c:pt>
                <c:pt idx="41">
                  <c:v>9/2/2022</c:v>
                </c:pt>
                <c:pt idx="42">
                  <c:v>9/5/2022</c:v>
                </c:pt>
                <c:pt idx="43">
                  <c:v>9/6/2022</c:v>
                </c:pt>
                <c:pt idx="44">
                  <c:v>9/7/2022</c:v>
                </c:pt>
                <c:pt idx="45">
                  <c:v>9/9/2022</c:v>
                </c:pt>
                <c:pt idx="46">
                  <c:v>9/13/2022</c:v>
                </c:pt>
                <c:pt idx="47">
                  <c:v>9/14/2022</c:v>
                </c:pt>
                <c:pt idx="48">
                  <c:v>9/15/2022</c:v>
                </c:pt>
                <c:pt idx="49">
                  <c:v>9/16/2022</c:v>
                </c:pt>
                <c:pt idx="50">
                  <c:v>9/19/2022</c:v>
                </c:pt>
                <c:pt idx="51">
                  <c:v>9/20/2022</c:v>
                </c:pt>
                <c:pt idx="52">
                  <c:v>9/21/2022</c:v>
                </c:pt>
                <c:pt idx="53">
                  <c:v>9/22/2022</c:v>
                </c:pt>
                <c:pt idx="54">
                  <c:v>9/23/2022</c:v>
                </c:pt>
                <c:pt idx="55">
                  <c:v>9/26/2022</c:v>
                </c:pt>
                <c:pt idx="56">
                  <c:v>9/27/2022</c:v>
                </c:pt>
                <c:pt idx="57">
                  <c:v>9/28/2022</c:v>
                </c:pt>
                <c:pt idx="58">
                  <c:v>9/29/2022</c:v>
                </c:pt>
                <c:pt idx="59">
                  <c:v>9/30/2022</c:v>
                </c:pt>
                <c:pt idx="60">
                  <c:v>10/3/2022</c:v>
                </c:pt>
                <c:pt idx="61">
                  <c:v>10/4/2022</c:v>
                </c:pt>
                <c:pt idx="62">
                  <c:v>10/5/2022</c:v>
                </c:pt>
                <c:pt idx="63">
                  <c:v>10/6/2022</c:v>
                </c:pt>
                <c:pt idx="64">
                  <c:v>10/7/2022</c:v>
                </c:pt>
                <c:pt idx="65">
                  <c:v>10/10/2022</c:v>
                </c:pt>
                <c:pt idx="66">
                  <c:v>10/11/2022</c:v>
                </c:pt>
                <c:pt idx="67">
                  <c:v>10/12/2022</c:v>
                </c:pt>
                <c:pt idx="68">
                  <c:v>10/13/2022</c:v>
                </c:pt>
                <c:pt idx="69">
                  <c:v>10/14/2022</c:v>
                </c:pt>
                <c:pt idx="70">
                  <c:v>10/17/2022</c:v>
                </c:pt>
                <c:pt idx="71">
                  <c:v>10/18/2022</c:v>
                </c:pt>
                <c:pt idx="72">
                  <c:v>10/19/2022</c:v>
                </c:pt>
                <c:pt idx="73">
                  <c:v>10/20/2022</c:v>
                </c:pt>
                <c:pt idx="74">
                  <c:v>10/21/2022</c:v>
                </c:pt>
                <c:pt idx="75">
                  <c:v>10/24/2022</c:v>
                </c:pt>
                <c:pt idx="76">
                  <c:v>10/25/2022</c:v>
                </c:pt>
                <c:pt idx="77">
                  <c:v>10/26/2022</c:v>
                </c:pt>
                <c:pt idx="78">
                  <c:v>10/27/2022</c:v>
                </c:pt>
                <c:pt idx="79">
                  <c:v>10/28/2022</c:v>
                </c:pt>
                <c:pt idx="80">
                  <c:v>10/31/2022</c:v>
                </c:pt>
                <c:pt idx="81">
                  <c:v>11/1/2022</c:v>
                </c:pt>
                <c:pt idx="82">
                  <c:v>11/2/2022</c:v>
                </c:pt>
                <c:pt idx="83">
                  <c:v>11/3/2022</c:v>
                </c:pt>
                <c:pt idx="84">
                  <c:v>11/4/2022</c:v>
                </c:pt>
                <c:pt idx="85">
                  <c:v>11/8/2022</c:v>
                </c:pt>
                <c:pt idx="86">
                  <c:v>11/9/2022</c:v>
                </c:pt>
                <c:pt idx="87">
                  <c:v>11/10/2022</c:v>
                </c:pt>
                <c:pt idx="88">
                  <c:v>11/11/2022</c:v>
                </c:pt>
                <c:pt idx="89">
                  <c:v>11/15/2022</c:v>
                </c:pt>
                <c:pt idx="90">
                  <c:v>11/16/2022</c:v>
                </c:pt>
                <c:pt idx="91">
                  <c:v>11/17/2022</c:v>
                </c:pt>
                <c:pt idx="92">
                  <c:v>11/18/2022</c:v>
                </c:pt>
                <c:pt idx="93">
                  <c:v>11/21/2022</c:v>
                </c:pt>
                <c:pt idx="94">
                  <c:v>11/22/2022</c:v>
                </c:pt>
                <c:pt idx="95">
                  <c:v>11/23/2022</c:v>
                </c:pt>
                <c:pt idx="96">
                  <c:v>11/24/2022</c:v>
                </c:pt>
                <c:pt idx="97">
                  <c:v>11/25/2022</c:v>
                </c:pt>
                <c:pt idx="98">
                  <c:v>11/28/2022</c:v>
                </c:pt>
                <c:pt idx="99">
                  <c:v>11/30/2022</c:v>
                </c:pt>
                <c:pt idx="100">
                  <c:v>12/1/2022</c:v>
                </c:pt>
                <c:pt idx="101">
                  <c:v>12/2/2022</c:v>
                </c:pt>
                <c:pt idx="102">
                  <c:v>12/5/2022</c:v>
                </c:pt>
                <c:pt idx="103">
                  <c:v>12/6/2022</c:v>
                </c:pt>
                <c:pt idx="104">
                  <c:v>12/8/2022</c:v>
                </c:pt>
                <c:pt idx="105">
                  <c:v>12/9/2022</c:v>
                </c:pt>
                <c:pt idx="106">
                  <c:v>12/12/2022</c:v>
                </c:pt>
                <c:pt idx="107">
                  <c:v>12/13/2022</c:v>
                </c:pt>
                <c:pt idx="108">
                  <c:v>12/14/2022</c:v>
                </c:pt>
                <c:pt idx="109">
                  <c:v>12/15/2022</c:v>
                </c:pt>
                <c:pt idx="110">
                  <c:v>12/16/2022</c:v>
                </c:pt>
                <c:pt idx="111">
                  <c:v>12/19/2022</c:v>
                </c:pt>
                <c:pt idx="112">
                  <c:v>12/20/2022</c:v>
                </c:pt>
                <c:pt idx="113">
                  <c:v>12/22/2022</c:v>
                </c:pt>
                <c:pt idx="114">
                  <c:v>12/23/2022</c:v>
                </c:pt>
                <c:pt idx="115">
                  <c:v>12/27/2022</c:v>
                </c:pt>
                <c:pt idx="116">
                  <c:v>12/28/2022</c:v>
                </c:pt>
                <c:pt idx="117">
                  <c:v>12/29/2022</c:v>
                </c:pt>
                <c:pt idx="118">
                  <c:v>12/30/2022</c:v>
                </c:pt>
                <c:pt idx="119">
                  <c:v>1/2/2023</c:v>
                </c:pt>
                <c:pt idx="120">
                  <c:v>1/3/2023</c:v>
                </c:pt>
                <c:pt idx="121">
                  <c:v>1/4/2023</c:v>
                </c:pt>
                <c:pt idx="122">
                  <c:v>1/5/2023</c:v>
                </c:pt>
                <c:pt idx="123">
                  <c:v>1/9/2023</c:v>
                </c:pt>
                <c:pt idx="124">
                  <c:v>1/10/2023</c:v>
                </c:pt>
                <c:pt idx="125">
                  <c:v>1/11/2023</c:v>
                </c:pt>
                <c:pt idx="126">
                  <c:v>1/12/2023</c:v>
                </c:pt>
                <c:pt idx="127">
                  <c:v>1/13/2023</c:v>
                </c:pt>
                <c:pt idx="128">
                  <c:v>1/16/2023</c:v>
                </c:pt>
                <c:pt idx="129">
                  <c:v>1/17/2023</c:v>
                </c:pt>
                <c:pt idx="130">
                  <c:v>1/18/2023</c:v>
                </c:pt>
                <c:pt idx="131">
                  <c:v>1/19/2023</c:v>
                </c:pt>
                <c:pt idx="132">
                  <c:v>1/20/2023</c:v>
                </c:pt>
                <c:pt idx="133">
                  <c:v>1/23/2023</c:v>
                </c:pt>
                <c:pt idx="134">
                  <c:v>1/24/2023</c:v>
                </c:pt>
                <c:pt idx="135">
                  <c:v>1/25/2023</c:v>
                </c:pt>
                <c:pt idx="136">
                  <c:v>1/26/2023</c:v>
                </c:pt>
                <c:pt idx="137">
                  <c:v>1/27/2023</c:v>
                </c:pt>
                <c:pt idx="138">
                  <c:v>1/30/2023</c:v>
                </c:pt>
                <c:pt idx="139">
                  <c:v>1/31/2023</c:v>
                </c:pt>
                <c:pt idx="140">
                  <c:v>2/1/2023</c:v>
                </c:pt>
                <c:pt idx="141">
                  <c:v>2/2/2023</c:v>
                </c:pt>
                <c:pt idx="142">
                  <c:v>2/3/2023</c:v>
                </c:pt>
                <c:pt idx="143">
                  <c:v>2/6/2023</c:v>
                </c:pt>
                <c:pt idx="144">
                  <c:v>2/7/2023</c:v>
                </c:pt>
                <c:pt idx="145">
                  <c:v>2/8/2023</c:v>
                </c:pt>
                <c:pt idx="146">
                  <c:v>2/9/2023</c:v>
                </c:pt>
                <c:pt idx="147">
                  <c:v>2/10/2023</c:v>
                </c:pt>
                <c:pt idx="148">
                  <c:v>2/13/2023</c:v>
                </c:pt>
                <c:pt idx="149">
                  <c:v>2/14/2023</c:v>
                </c:pt>
                <c:pt idx="150">
                  <c:v>2/15/2023</c:v>
                </c:pt>
                <c:pt idx="151">
                  <c:v>2/16/2023</c:v>
                </c:pt>
                <c:pt idx="152">
                  <c:v>2/17/2023</c:v>
                </c:pt>
                <c:pt idx="153">
                  <c:v>2/20/2023</c:v>
                </c:pt>
                <c:pt idx="154">
                  <c:v>2/21/2023</c:v>
                </c:pt>
                <c:pt idx="155">
                  <c:v>2/22/2023</c:v>
                </c:pt>
                <c:pt idx="156">
                  <c:v>2/23/2023</c:v>
                </c:pt>
                <c:pt idx="157">
                  <c:v>2/24/2023</c:v>
                </c:pt>
                <c:pt idx="158">
                  <c:v>2/27/2023</c:v>
                </c:pt>
                <c:pt idx="159">
                  <c:v>2/28/2023</c:v>
                </c:pt>
                <c:pt idx="160">
                  <c:v>3/1/2023</c:v>
                </c:pt>
                <c:pt idx="161">
                  <c:v>3/2/2023</c:v>
                </c:pt>
                <c:pt idx="162">
                  <c:v>3/3/2023</c:v>
                </c:pt>
                <c:pt idx="163">
                  <c:v>3/7/2023</c:v>
                </c:pt>
                <c:pt idx="164">
                  <c:v>3/8/2023</c:v>
                </c:pt>
                <c:pt idx="165">
                  <c:v>3/9/2023</c:v>
                </c:pt>
                <c:pt idx="166">
                  <c:v>3/10/2023</c:v>
                </c:pt>
                <c:pt idx="167">
                  <c:v>3/13/2023</c:v>
                </c:pt>
                <c:pt idx="168">
                  <c:v>3/14/2023</c:v>
                </c:pt>
                <c:pt idx="169">
                  <c:v>3/15/2023</c:v>
                </c:pt>
                <c:pt idx="170">
                  <c:v>3/16/2023</c:v>
                </c:pt>
                <c:pt idx="171">
                  <c:v>3/17/2023</c:v>
                </c:pt>
                <c:pt idx="172">
                  <c:v>3/20/2023</c:v>
                </c:pt>
                <c:pt idx="173">
                  <c:v>3/21/2023</c:v>
                </c:pt>
                <c:pt idx="174">
                  <c:v>3/22/2023</c:v>
                </c:pt>
                <c:pt idx="175">
                  <c:v>3/23/2023</c:v>
                </c:pt>
                <c:pt idx="176">
                  <c:v>3/24/2023</c:v>
                </c:pt>
                <c:pt idx="177">
                  <c:v>3/27/2023</c:v>
                </c:pt>
                <c:pt idx="178">
                  <c:v>3/28/2023</c:v>
                </c:pt>
                <c:pt idx="179">
                  <c:v>3/29/2023</c:v>
                </c:pt>
                <c:pt idx="180">
                  <c:v>3/30/2023</c:v>
                </c:pt>
                <c:pt idx="181">
                  <c:v>3/31/2023</c:v>
                </c:pt>
                <c:pt idx="182">
                  <c:v>4/3/2023</c:v>
                </c:pt>
                <c:pt idx="183">
                  <c:v>4/4/2023</c:v>
                </c:pt>
                <c:pt idx="184">
                  <c:v>4/6/2023</c:v>
                </c:pt>
                <c:pt idx="185">
                  <c:v>4/7/2023</c:v>
                </c:pt>
                <c:pt idx="186">
                  <c:v>4/10/2023</c:v>
                </c:pt>
                <c:pt idx="187">
                  <c:v>4/17/2023</c:v>
                </c:pt>
                <c:pt idx="188">
                  <c:v>4/18/2023</c:v>
                </c:pt>
                <c:pt idx="189">
                  <c:v>4/19/2023</c:v>
                </c:pt>
                <c:pt idx="190">
                  <c:v>4/20/2023</c:v>
                </c:pt>
                <c:pt idx="191">
                  <c:v>4/21/2023</c:v>
                </c:pt>
                <c:pt idx="192">
                  <c:v>4/24/2023</c:v>
                </c:pt>
                <c:pt idx="193">
                  <c:v>4/25/2023</c:v>
                </c:pt>
                <c:pt idx="194">
                  <c:v>4/26/2023</c:v>
                </c:pt>
                <c:pt idx="195">
                  <c:v>4/27/2023</c:v>
                </c:pt>
                <c:pt idx="196">
                  <c:v>4/28/2023</c:v>
                </c:pt>
                <c:pt idx="197">
                  <c:v>5/2/2023</c:v>
                </c:pt>
                <c:pt idx="198">
                  <c:v>5/3/2023</c:v>
                </c:pt>
                <c:pt idx="199">
                  <c:v>5/4/2023</c:v>
                </c:pt>
                <c:pt idx="200">
                  <c:v>5/8/2023</c:v>
                </c:pt>
                <c:pt idx="201">
                  <c:v>5/9/2023</c:v>
                </c:pt>
                <c:pt idx="202">
                  <c:v>5/10/2023</c:v>
                </c:pt>
                <c:pt idx="203">
                  <c:v>5/11/2023</c:v>
                </c:pt>
                <c:pt idx="204">
                  <c:v>5/12/2023</c:v>
                </c:pt>
                <c:pt idx="205">
                  <c:v>5/15/2023</c:v>
                </c:pt>
                <c:pt idx="206">
                  <c:v>5/16/2023</c:v>
                </c:pt>
                <c:pt idx="207">
                  <c:v>5/17/2023</c:v>
                </c:pt>
                <c:pt idx="208">
                  <c:v>5/18/2023</c:v>
                </c:pt>
                <c:pt idx="209">
                  <c:v>5/19/2023</c:v>
                </c:pt>
                <c:pt idx="210">
                  <c:v>5/22/2023</c:v>
                </c:pt>
                <c:pt idx="211">
                  <c:v>5/23/2023</c:v>
                </c:pt>
                <c:pt idx="212">
                  <c:v>5/24/2023</c:v>
                </c:pt>
                <c:pt idx="213">
                  <c:v>5/25/2023</c:v>
                </c:pt>
                <c:pt idx="214">
                  <c:v>5/26/2023</c:v>
                </c:pt>
                <c:pt idx="215">
                  <c:v>5/29/2023</c:v>
                </c:pt>
                <c:pt idx="216">
                  <c:v>5/30/2023</c:v>
                </c:pt>
                <c:pt idx="217">
                  <c:v>5/31/2023</c:v>
                </c:pt>
                <c:pt idx="218">
                  <c:v>6/1/2023</c:v>
                </c:pt>
                <c:pt idx="219">
                  <c:v>6/2/2023</c:v>
                </c:pt>
                <c:pt idx="220">
                  <c:v>6/5/2023</c:v>
                </c:pt>
                <c:pt idx="221">
                  <c:v>6/6/2023</c:v>
                </c:pt>
                <c:pt idx="222">
                  <c:v>6/7/2023</c:v>
                </c:pt>
                <c:pt idx="223">
                  <c:v>6/8/2023</c:v>
                </c:pt>
                <c:pt idx="224">
                  <c:v>6/9/2023</c:v>
                </c:pt>
                <c:pt idx="225">
                  <c:v>6/12/2023</c:v>
                </c:pt>
                <c:pt idx="226">
                  <c:v>6/14/2023</c:v>
                </c:pt>
                <c:pt idx="227">
                  <c:v>6/15/2023</c:v>
                </c:pt>
                <c:pt idx="228">
                  <c:v>6/16/2023</c:v>
                </c:pt>
                <c:pt idx="229">
                  <c:v>6/19/2023</c:v>
                </c:pt>
                <c:pt idx="230">
                  <c:v>6/20/2023</c:v>
                </c:pt>
                <c:pt idx="231">
                  <c:v>6/21/2023</c:v>
                </c:pt>
                <c:pt idx="232">
                  <c:v>6/22/2023</c:v>
                </c:pt>
                <c:pt idx="233">
                  <c:v>6/23/2023</c:v>
                </c:pt>
                <c:pt idx="234">
                  <c:v>6/26/2023</c:v>
                </c:pt>
                <c:pt idx="235">
                  <c:v>6/27/2023</c:v>
                </c:pt>
                <c:pt idx="236">
                  <c:v>6/28/2023</c:v>
                </c:pt>
                <c:pt idx="237">
                  <c:v>6/29/2023</c:v>
                </c:pt>
                <c:pt idx="238">
                  <c:v>6/30/2023</c:v>
                </c:pt>
                <c:pt idx="239">
                  <c:v>7/4/2023</c:v>
                </c:pt>
                <c:pt idx="240">
                  <c:v>7/5/2023</c:v>
                </c:pt>
                <c:pt idx="241">
                  <c:v>7/6/2023</c:v>
                </c:pt>
                <c:pt idx="242">
                  <c:v>7/7/2023</c:v>
                </c:pt>
                <c:pt idx="243">
                  <c:v>7/10/2023</c:v>
                </c:pt>
                <c:pt idx="244">
                  <c:v>7/11/2023</c:v>
                </c:pt>
                <c:pt idx="245">
                  <c:v>7/12/2023</c:v>
                </c:pt>
                <c:pt idx="246">
                  <c:v>7/13/2023</c:v>
                </c:pt>
                <c:pt idx="247">
                  <c:v>7/14/2023</c:v>
                </c:pt>
                <c:pt idx="248">
                  <c:v>7/17/2023</c:v>
                </c:pt>
                <c:pt idx="249">
                  <c:v>7/21/2023</c:v>
                </c:pt>
              </c:strCache>
            </c:strRef>
          </c:cat>
          <c:val>
            <c:numRef>
              <c:f>'WH Occu. trend Analysis'!$P$600:$P$850</c:f>
              <c:numCache>
                <c:formatCode>General</c:formatCode>
                <c:ptCount val="250"/>
                <c:pt idx="0">
                  <c:v>7192.7950000000001</c:v>
                </c:pt>
                <c:pt idx="1">
                  <c:v>6872.7109999999993</c:v>
                </c:pt>
                <c:pt idx="2">
                  <c:v>6779.003999999999</c:v>
                </c:pt>
                <c:pt idx="3">
                  <c:v>6800.1809999999996</c:v>
                </c:pt>
                <c:pt idx="4">
                  <c:v>7087.1819999999998</c:v>
                </c:pt>
                <c:pt idx="5">
                  <c:v>6800.1809999999996</c:v>
                </c:pt>
                <c:pt idx="6">
                  <c:v>7236.1329999999998</c:v>
                </c:pt>
                <c:pt idx="7">
                  <c:v>7432.3509999999997</c:v>
                </c:pt>
                <c:pt idx="8">
                  <c:v>7381.8289999999997</c:v>
                </c:pt>
                <c:pt idx="9">
                  <c:v>7063.7489999999998</c:v>
                </c:pt>
                <c:pt idx="10">
                  <c:v>6982.3239999999996</c:v>
                </c:pt>
                <c:pt idx="11">
                  <c:v>7082.7349999999997</c:v>
                </c:pt>
                <c:pt idx="12">
                  <c:v>7140.8440000000001</c:v>
                </c:pt>
                <c:pt idx="13">
                  <c:v>7197.1869999999999</c:v>
                </c:pt>
                <c:pt idx="14">
                  <c:v>7298.4269999999997</c:v>
                </c:pt>
                <c:pt idx="15">
                  <c:v>7552.3770000000004</c:v>
                </c:pt>
                <c:pt idx="16">
                  <c:v>7645.2359999999999</c:v>
                </c:pt>
                <c:pt idx="17">
                  <c:v>7608.3159999999998</c:v>
                </c:pt>
                <c:pt idx="18">
                  <c:v>7433.192</c:v>
                </c:pt>
                <c:pt idx="19">
                  <c:v>7362.6949999999997</c:v>
                </c:pt>
                <c:pt idx="20">
                  <c:v>7326.9449999999997</c:v>
                </c:pt>
                <c:pt idx="21">
                  <c:v>7458.2659999999996</c:v>
                </c:pt>
                <c:pt idx="22">
                  <c:v>7463.6750000000002</c:v>
                </c:pt>
                <c:pt idx="23">
                  <c:v>7517.5950000000003</c:v>
                </c:pt>
                <c:pt idx="24">
                  <c:v>7575.9549999999999</c:v>
                </c:pt>
                <c:pt idx="25">
                  <c:v>7692.1880000000001</c:v>
                </c:pt>
                <c:pt idx="26">
                  <c:v>7853.268</c:v>
                </c:pt>
                <c:pt idx="27">
                  <c:v>8024.7860000000001</c:v>
                </c:pt>
                <c:pt idx="28">
                  <c:v>8121.9570000000003</c:v>
                </c:pt>
                <c:pt idx="29">
                  <c:v>8048.1029999999992</c:v>
                </c:pt>
                <c:pt idx="30">
                  <c:v>8067.2279999999992</c:v>
                </c:pt>
                <c:pt idx="31">
                  <c:v>8173.1170000000002</c:v>
                </c:pt>
                <c:pt idx="32">
                  <c:v>8211.39</c:v>
                </c:pt>
                <c:pt idx="33">
                  <c:v>8308.2999999999993</c:v>
                </c:pt>
                <c:pt idx="34">
                  <c:v>8310.9390000000003</c:v>
                </c:pt>
                <c:pt idx="35">
                  <c:v>8142.2780000000012</c:v>
                </c:pt>
                <c:pt idx="36">
                  <c:v>8042</c:v>
                </c:pt>
                <c:pt idx="37">
                  <c:v>8181.9070000000002</c:v>
                </c:pt>
                <c:pt idx="38">
                  <c:v>8276.6560000000009</c:v>
                </c:pt>
                <c:pt idx="39">
                  <c:v>8243.0920000000006</c:v>
                </c:pt>
                <c:pt idx="40">
                  <c:v>8371.7289999999994</c:v>
                </c:pt>
                <c:pt idx="41">
                  <c:v>8498.2389999999996</c:v>
                </c:pt>
                <c:pt idx="42">
                  <c:v>8127.3510000000006</c:v>
                </c:pt>
                <c:pt idx="43">
                  <c:v>8291.0229999999992</c:v>
                </c:pt>
                <c:pt idx="44">
                  <c:v>8174.3619999999992</c:v>
                </c:pt>
                <c:pt idx="45">
                  <c:v>8110.6829999999991</c:v>
                </c:pt>
                <c:pt idx="46">
                  <c:v>8141</c:v>
                </c:pt>
                <c:pt idx="47">
                  <c:v>8024.8390000000009</c:v>
                </c:pt>
                <c:pt idx="48">
                  <c:v>7963.7079999999996</c:v>
                </c:pt>
                <c:pt idx="49">
                  <c:v>7958.1440000000011</c:v>
                </c:pt>
                <c:pt idx="50">
                  <c:v>8101.5170000000007</c:v>
                </c:pt>
                <c:pt idx="51">
                  <c:v>8223.107</c:v>
                </c:pt>
                <c:pt idx="52">
                  <c:v>8375.5319999999992</c:v>
                </c:pt>
                <c:pt idx="53">
                  <c:v>8328.0120000000006</c:v>
                </c:pt>
                <c:pt idx="54">
                  <c:v>8371</c:v>
                </c:pt>
                <c:pt idx="55">
                  <c:v>8391.9240000000009</c:v>
                </c:pt>
                <c:pt idx="56">
                  <c:v>8459</c:v>
                </c:pt>
                <c:pt idx="57">
                  <c:v>8436</c:v>
                </c:pt>
                <c:pt idx="58">
                  <c:v>8487</c:v>
                </c:pt>
                <c:pt idx="59">
                  <c:v>8283</c:v>
                </c:pt>
                <c:pt idx="60">
                  <c:v>8155</c:v>
                </c:pt>
                <c:pt idx="61">
                  <c:v>8222</c:v>
                </c:pt>
                <c:pt idx="62">
                  <c:v>7971</c:v>
                </c:pt>
                <c:pt idx="63">
                  <c:v>7871</c:v>
                </c:pt>
                <c:pt idx="64">
                  <c:v>7984</c:v>
                </c:pt>
                <c:pt idx="65">
                  <c:v>8445</c:v>
                </c:pt>
                <c:pt idx="66">
                  <c:v>8581</c:v>
                </c:pt>
                <c:pt idx="67">
                  <c:v>8727</c:v>
                </c:pt>
                <c:pt idx="68">
                  <c:v>8542</c:v>
                </c:pt>
                <c:pt idx="69">
                  <c:v>8324</c:v>
                </c:pt>
                <c:pt idx="70">
                  <c:v>7976</c:v>
                </c:pt>
                <c:pt idx="71">
                  <c:v>8036</c:v>
                </c:pt>
                <c:pt idx="72">
                  <c:v>7996</c:v>
                </c:pt>
                <c:pt idx="73">
                  <c:v>7855</c:v>
                </c:pt>
                <c:pt idx="74">
                  <c:v>7869</c:v>
                </c:pt>
                <c:pt idx="75">
                  <c:v>7952</c:v>
                </c:pt>
                <c:pt idx="76">
                  <c:v>8185</c:v>
                </c:pt>
                <c:pt idx="77">
                  <c:v>8311</c:v>
                </c:pt>
                <c:pt idx="78">
                  <c:v>8233</c:v>
                </c:pt>
                <c:pt idx="79">
                  <c:v>8241</c:v>
                </c:pt>
                <c:pt idx="80">
                  <c:v>8102</c:v>
                </c:pt>
                <c:pt idx="81">
                  <c:v>8183</c:v>
                </c:pt>
                <c:pt idx="82">
                  <c:v>8061</c:v>
                </c:pt>
                <c:pt idx="83">
                  <c:v>8133</c:v>
                </c:pt>
                <c:pt idx="84">
                  <c:v>8083</c:v>
                </c:pt>
                <c:pt idx="85">
                  <c:v>7982</c:v>
                </c:pt>
                <c:pt idx="86">
                  <c:v>8116</c:v>
                </c:pt>
                <c:pt idx="87">
                  <c:v>8198</c:v>
                </c:pt>
                <c:pt idx="88">
                  <c:v>8264</c:v>
                </c:pt>
                <c:pt idx="89">
                  <c:v>8083</c:v>
                </c:pt>
                <c:pt idx="90">
                  <c:v>8049</c:v>
                </c:pt>
                <c:pt idx="91">
                  <c:v>8155</c:v>
                </c:pt>
                <c:pt idx="92">
                  <c:v>8246</c:v>
                </c:pt>
                <c:pt idx="93">
                  <c:v>8180</c:v>
                </c:pt>
                <c:pt idx="94">
                  <c:v>8381</c:v>
                </c:pt>
                <c:pt idx="95">
                  <c:v>8518</c:v>
                </c:pt>
                <c:pt idx="96">
                  <c:v>8426</c:v>
                </c:pt>
                <c:pt idx="97">
                  <c:v>8486</c:v>
                </c:pt>
                <c:pt idx="98">
                  <c:v>8464</c:v>
                </c:pt>
                <c:pt idx="99">
                  <c:v>8821</c:v>
                </c:pt>
                <c:pt idx="100">
                  <c:v>8707</c:v>
                </c:pt>
                <c:pt idx="101">
                  <c:v>8627</c:v>
                </c:pt>
                <c:pt idx="102">
                  <c:v>8300</c:v>
                </c:pt>
                <c:pt idx="103">
                  <c:v>8382</c:v>
                </c:pt>
                <c:pt idx="104">
                  <c:v>8492</c:v>
                </c:pt>
                <c:pt idx="105">
                  <c:v>8427</c:v>
                </c:pt>
                <c:pt idx="106">
                  <c:v>8036</c:v>
                </c:pt>
                <c:pt idx="107">
                  <c:v>8161</c:v>
                </c:pt>
                <c:pt idx="108">
                  <c:v>8297</c:v>
                </c:pt>
                <c:pt idx="109">
                  <c:v>8155</c:v>
                </c:pt>
                <c:pt idx="110">
                  <c:v>8257</c:v>
                </c:pt>
                <c:pt idx="111">
                  <c:v>8062</c:v>
                </c:pt>
                <c:pt idx="112">
                  <c:v>8062</c:v>
                </c:pt>
                <c:pt idx="113">
                  <c:v>8243</c:v>
                </c:pt>
                <c:pt idx="114">
                  <c:v>8238</c:v>
                </c:pt>
                <c:pt idx="115">
                  <c:v>8036</c:v>
                </c:pt>
                <c:pt idx="116">
                  <c:v>8269</c:v>
                </c:pt>
                <c:pt idx="117">
                  <c:v>8376</c:v>
                </c:pt>
                <c:pt idx="118">
                  <c:v>8250</c:v>
                </c:pt>
                <c:pt idx="119">
                  <c:v>8142</c:v>
                </c:pt>
                <c:pt idx="120">
                  <c:v>8145</c:v>
                </c:pt>
                <c:pt idx="121">
                  <c:v>8298</c:v>
                </c:pt>
                <c:pt idx="122">
                  <c:v>8112</c:v>
                </c:pt>
                <c:pt idx="123">
                  <c:v>7734</c:v>
                </c:pt>
                <c:pt idx="124">
                  <c:v>7816</c:v>
                </c:pt>
                <c:pt idx="125">
                  <c:v>7726</c:v>
                </c:pt>
                <c:pt idx="126">
                  <c:v>7652</c:v>
                </c:pt>
                <c:pt idx="127">
                  <c:v>7668</c:v>
                </c:pt>
                <c:pt idx="128">
                  <c:v>7407</c:v>
                </c:pt>
                <c:pt idx="129">
                  <c:v>7446</c:v>
                </c:pt>
                <c:pt idx="130">
                  <c:v>7429</c:v>
                </c:pt>
                <c:pt idx="131">
                  <c:v>7466</c:v>
                </c:pt>
                <c:pt idx="132">
                  <c:v>7465</c:v>
                </c:pt>
                <c:pt idx="133">
                  <c:v>7465.1120000000001</c:v>
                </c:pt>
                <c:pt idx="134">
                  <c:v>7573.4340000000002</c:v>
                </c:pt>
                <c:pt idx="135">
                  <c:v>7685.973</c:v>
                </c:pt>
                <c:pt idx="136">
                  <c:v>7757.2659999999996</c:v>
                </c:pt>
                <c:pt idx="137">
                  <c:v>7718.6049999999996</c:v>
                </c:pt>
                <c:pt idx="138">
                  <c:v>7657</c:v>
                </c:pt>
                <c:pt idx="139">
                  <c:v>7771.0820000000003</c:v>
                </c:pt>
                <c:pt idx="140">
                  <c:v>7837.3469999999998</c:v>
                </c:pt>
                <c:pt idx="141">
                  <c:v>7885.9949999999999</c:v>
                </c:pt>
                <c:pt idx="142">
                  <c:v>7978.6559999999999</c:v>
                </c:pt>
                <c:pt idx="143">
                  <c:v>8090.6750000000002</c:v>
                </c:pt>
                <c:pt idx="144">
                  <c:v>8272.4279999999999</c:v>
                </c:pt>
                <c:pt idx="145">
                  <c:v>8365.2440000000006</c:v>
                </c:pt>
                <c:pt idx="146">
                  <c:v>8209.4660000000003</c:v>
                </c:pt>
                <c:pt idx="147">
                  <c:v>8172.2779999999993</c:v>
                </c:pt>
                <c:pt idx="148">
                  <c:v>8157.8919999999989</c:v>
                </c:pt>
                <c:pt idx="149">
                  <c:v>8244.6970000000001</c:v>
                </c:pt>
                <c:pt idx="150">
                  <c:v>8225.5169999999998</c:v>
                </c:pt>
                <c:pt idx="151">
                  <c:v>8093.3129999999992</c:v>
                </c:pt>
                <c:pt idx="152">
                  <c:v>8088.168999999999</c:v>
                </c:pt>
                <c:pt idx="153">
                  <c:v>8192.1275000000005</c:v>
                </c:pt>
                <c:pt idx="154">
                  <c:v>8398.5215000000007</c:v>
                </c:pt>
                <c:pt idx="155">
                  <c:v>8485.0295000000006</c:v>
                </c:pt>
                <c:pt idx="156">
                  <c:v>8496.9495000000006</c:v>
                </c:pt>
                <c:pt idx="157">
                  <c:v>8428.6574999999993</c:v>
                </c:pt>
                <c:pt idx="158">
                  <c:v>8365.3935000000001</c:v>
                </c:pt>
                <c:pt idx="159">
                  <c:v>8531.2194999999992</c:v>
                </c:pt>
                <c:pt idx="160">
                  <c:v>8683.2764999999999</c:v>
                </c:pt>
                <c:pt idx="161">
                  <c:v>8445.3775000000005</c:v>
                </c:pt>
                <c:pt idx="162">
                  <c:v>8365.1205000000009</c:v>
                </c:pt>
                <c:pt idx="163">
                  <c:v>8403.7294999999995</c:v>
                </c:pt>
                <c:pt idx="164">
                  <c:v>8533.4145000000008</c:v>
                </c:pt>
                <c:pt idx="165">
                  <c:v>8573.8155000000006</c:v>
                </c:pt>
                <c:pt idx="166">
                  <c:v>8472.5745000000006</c:v>
                </c:pt>
                <c:pt idx="167">
                  <c:v>7972.9889999999996</c:v>
                </c:pt>
                <c:pt idx="168">
                  <c:v>8181.4089999999997</c:v>
                </c:pt>
                <c:pt idx="169">
                  <c:v>8246.4279999999999</c:v>
                </c:pt>
                <c:pt idx="170">
                  <c:v>8013.4879999999994</c:v>
                </c:pt>
                <c:pt idx="171">
                  <c:v>8014.41</c:v>
                </c:pt>
                <c:pt idx="172">
                  <c:v>8099.2829999999994</c:v>
                </c:pt>
                <c:pt idx="173">
                  <c:v>8275.73</c:v>
                </c:pt>
                <c:pt idx="174">
                  <c:v>8350.4279999999999</c:v>
                </c:pt>
                <c:pt idx="175">
                  <c:v>8240.83</c:v>
                </c:pt>
                <c:pt idx="176">
                  <c:v>8144.52</c:v>
                </c:pt>
                <c:pt idx="177">
                  <c:v>7708.0379999999996</c:v>
                </c:pt>
                <c:pt idx="178">
                  <c:v>7884.7089999999998</c:v>
                </c:pt>
                <c:pt idx="179">
                  <c:v>7987.4650000000001</c:v>
                </c:pt>
                <c:pt idx="180">
                  <c:v>7893.3639999999996</c:v>
                </c:pt>
                <c:pt idx="181">
                  <c:v>7757.3649999999998</c:v>
                </c:pt>
                <c:pt idx="182">
                  <c:v>7837.9870000000001</c:v>
                </c:pt>
                <c:pt idx="183">
                  <c:v>7837.9870000000001</c:v>
                </c:pt>
                <c:pt idx="184">
                  <c:v>7773.2009999999991</c:v>
                </c:pt>
                <c:pt idx="185">
                  <c:v>7800.8119999999999</c:v>
                </c:pt>
                <c:pt idx="186">
                  <c:v>7569.75</c:v>
                </c:pt>
                <c:pt idx="187">
                  <c:v>7815.351999999999</c:v>
                </c:pt>
                <c:pt idx="188">
                  <c:v>7924.128999999999</c:v>
                </c:pt>
                <c:pt idx="189">
                  <c:v>7897.3259999999991</c:v>
                </c:pt>
                <c:pt idx="190">
                  <c:v>7617.3429999999989</c:v>
                </c:pt>
                <c:pt idx="191">
                  <c:v>7562.7889999999989</c:v>
                </c:pt>
                <c:pt idx="192">
                  <c:v>7484.3279999999995</c:v>
                </c:pt>
                <c:pt idx="193">
                  <c:v>7543.8119999999999</c:v>
                </c:pt>
                <c:pt idx="194">
                  <c:v>7543.8119999999999</c:v>
                </c:pt>
                <c:pt idx="195">
                  <c:v>7408.4105</c:v>
                </c:pt>
                <c:pt idx="196">
                  <c:v>7407.1124999999993</c:v>
                </c:pt>
                <c:pt idx="197">
                  <c:v>7311.628999999999</c:v>
                </c:pt>
                <c:pt idx="198">
                  <c:v>7518.6509999999998</c:v>
                </c:pt>
                <c:pt idx="199">
                  <c:v>7540.4660000000003</c:v>
                </c:pt>
                <c:pt idx="200">
                  <c:v>7465.2950000000001</c:v>
                </c:pt>
                <c:pt idx="201">
                  <c:v>7555.7150000000001</c:v>
                </c:pt>
                <c:pt idx="202">
                  <c:v>7704.2939999999999</c:v>
                </c:pt>
                <c:pt idx="203">
                  <c:v>7732.5059999999994</c:v>
                </c:pt>
                <c:pt idx="204">
                  <c:v>7776.6729999999989</c:v>
                </c:pt>
                <c:pt idx="205">
                  <c:v>7882.5649999999987</c:v>
                </c:pt>
                <c:pt idx="206">
                  <c:v>8029.2639999999992</c:v>
                </c:pt>
                <c:pt idx="207">
                  <c:v>8263.1560000000009</c:v>
                </c:pt>
                <c:pt idx="208">
                  <c:v>8277.3469999999998</c:v>
                </c:pt>
                <c:pt idx="209">
                  <c:v>8101.4499999999989</c:v>
                </c:pt>
                <c:pt idx="210">
                  <c:v>7661.9889999999996</c:v>
                </c:pt>
                <c:pt idx="211">
                  <c:v>7850.28</c:v>
                </c:pt>
                <c:pt idx="212">
                  <c:v>7831.2709999999997</c:v>
                </c:pt>
                <c:pt idx="213">
                  <c:v>7606.5640000000003</c:v>
                </c:pt>
                <c:pt idx="214">
                  <c:v>7328.4605000000001</c:v>
                </c:pt>
                <c:pt idx="215">
                  <c:v>7104.0195000000003</c:v>
                </c:pt>
                <c:pt idx="216">
                  <c:v>7212.4035000000003</c:v>
                </c:pt>
                <c:pt idx="217">
                  <c:v>7239.8355000000001</c:v>
                </c:pt>
                <c:pt idx="218">
                  <c:v>7025.5315000000001</c:v>
                </c:pt>
                <c:pt idx="219">
                  <c:v>6943.7494999999999</c:v>
                </c:pt>
                <c:pt idx="220">
                  <c:v>6943.7494999999999</c:v>
                </c:pt>
                <c:pt idx="221">
                  <c:v>6906.7134999999998</c:v>
                </c:pt>
                <c:pt idx="222">
                  <c:v>7281.8315000000002</c:v>
                </c:pt>
                <c:pt idx="223">
                  <c:v>7465.3114999999998</c:v>
                </c:pt>
                <c:pt idx="224">
                  <c:v>7602.0609999999997</c:v>
                </c:pt>
                <c:pt idx="225">
                  <c:v>7217.5259999999998</c:v>
                </c:pt>
                <c:pt idx="226">
                  <c:v>7705.4040000000005</c:v>
                </c:pt>
                <c:pt idx="227">
                  <c:v>7854.9</c:v>
                </c:pt>
                <c:pt idx="228">
                  <c:v>7618.5259999999998</c:v>
                </c:pt>
                <c:pt idx="229">
                  <c:v>7385.82</c:v>
                </c:pt>
                <c:pt idx="230">
                  <c:v>7642.8950000000004</c:v>
                </c:pt>
                <c:pt idx="231">
                  <c:v>7662.25</c:v>
                </c:pt>
                <c:pt idx="232">
                  <c:v>7529.326</c:v>
                </c:pt>
                <c:pt idx="233">
                  <c:v>7717.25</c:v>
                </c:pt>
                <c:pt idx="234">
                  <c:v>7202.3225000000002</c:v>
                </c:pt>
                <c:pt idx="235">
                  <c:v>7208.8630000000003</c:v>
                </c:pt>
                <c:pt idx="236">
                  <c:v>7261.2380000000003</c:v>
                </c:pt>
                <c:pt idx="237">
                  <c:v>7739.0360000000001</c:v>
                </c:pt>
                <c:pt idx="238">
                  <c:v>7771.9409999999998</c:v>
                </c:pt>
                <c:pt idx="239">
                  <c:v>7522.0910000000003</c:v>
                </c:pt>
                <c:pt idx="240">
                  <c:v>7747.2439999999997</c:v>
                </c:pt>
                <c:pt idx="241">
                  <c:v>7807.5339999999997</c:v>
                </c:pt>
                <c:pt idx="242">
                  <c:v>7870.683</c:v>
                </c:pt>
                <c:pt idx="243">
                  <c:v>7774.8680000000004</c:v>
                </c:pt>
                <c:pt idx="244">
                  <c:v>7953.1220000000003</c:v>
                </c:pt>
                <c:pt idx="245">
                  <c:v>7969.8850000000002</c:v>
                </c:pt>
                <c:pt idx="246">
                  <c:v>7650.8305</c:v>
                </c:pt>
                <c:pt idx="247">
                  <c:v>7673.4475000000002</c:v>
                </c:pt>
                <c:pt idx="248">
                  <c:v>7513.1944999999996</c:v>
                </c:pt>
                <c:pt idx="249">
                  <c:v>7676.0394999999999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EF-4D8D-AA29-3E9316D09C00}"/>
            </c:ext>
          </c:extLst>
        </c:ser>
        <c:ser>
          <c:idx val="2"/>
          <c:order val="2"/>
          <c:tx>
            <c:strRef>
              <c:f>'WH Occu. trend Analysis'!$Q$599</c:f>
              <c:strCache>
                <c:ptCount val="1"/>
                <c:pt idx="0">
                  <c:v>Orugodawatta DC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'WH Occu. trend Analysis'!$N$600:$N$850</c:f>
              <c:strCache>
                <c:ptCount val="250"/>
                <c:pt idx="0">
                  <c:v>7/4/2022</c:v>
                </c:pt>
                <c:pt idx="1">
                  <c:v>7/5/2022</c:v>
                </c:pt>
                <c:pt idx="2">
                  <c:v>7/6/2022</c:v>
                </c:pt>
                <c:pt idx="3">
                  <c:v>7/7/2022</c:v>
                </c:pt>
                <c:pt idx="4">
                  <c:v>7/8/2022</c:v>
                </c:pt>
                <c:pt idx="5">
                  <c:v>7/11/2022</c:v>
                </c:pt>
                <c:pt idx="6">
                  <c:v>7/12/2022</c:v>
                </c:pt>
                <c:pt idx="7">
                  <c:v>7/14/2022</c:v>
                </c:pt>
                <c:pt idx="8">
                  <c:v>7/15/2022</c:v>
                </c:pt>
                <c:pt idx="9">
                  <c:v>7/18/2022</c:v>
                </c:pt>
                <c:pt idx="10">
                  <c:v>7/19/2022</c:v>
                </c:pt>
                <c:pt idx="11">
                  <c:v>7/20/2022</c:v>
                </c:pt>
                <c:pt idx="12">
                  <c:v>7/21/2022</c:v>
                </c:pt>
                <c:pt idx="13">
                  <c:v>7/22/2022</c:v>
                </c:pt>
                <c:pt idx="14">
                  <c:v>7/25/2022</c:v>
                </c:pt>
                <c:pt idx="15">
                  <c:v>7/26/2022</c:v>
                </c:pt>
                <c:pt idx="16">
                  <c:v>7/27/2022</c:v>
                </c:pt>
                <c:pt idx="17">
                  <c:v>7/28/2022</c:v>
                </c:pt>
                <c:pt idx="18">
                  <c:v>7/29/2022</c:v>
                </c:pt>
                <c:pt idx="19">
                  <c:v>8/1/2022</c:v>
                </c:pt>
                <c:pt idx="20">
                  <c:v>8/2/2022</c:v>
                </c:pt>
                <c:pt idx="21">
                  <c:v>8/3/2022</c:v>
                </c:pt>
                <c:pt idx="22">
                  <c:v>8/4/2022</c:v>
                </c:pt>
                <c:pt idx="23">
                  <c:v>8/5/2022</c:v>
                </c:pt>
                <c:pt idx="24">
                  <c:v>8/8/2022</c:v>
                </c:pt>
                <c:pt idx="25">
                  <c:v>8/9/2022</c:v>
                </c:pt>
                <c:pt idx="26">
                  <c:v>8/10/2022</c:v>
                </c:pt>
                <c:pt idx="27">
                  <c:v>8/15/2022</c:v>
                </c:pt>
                <c:pt idx="28">
                  <c:v>8/16/2022</c:v>
                </c:pt>
                <c:pt idx="29">
                  <c:v>8/17/2022</c:v>
                </c:pt>
                <c:pt idx="30">
                  <c:v>8/18/2022</c:v>
                </c:pt>
                <c:pt idx="31">
                  <c:v>8/19/2022</c:v>
                </c:pt>
                <c:pt idx="32">
                  <c:v>8/22/2022</c:v>
                </c:pt>
                <c:pt idx="33">
                  <c:v>8/23/2022</c:v>
                </c:pt>
                <c:pt idx="34">
                  <c:v>8/24/2022</c:v>
                </c:pt>
                <c:pt idx="35">
                  <c:v>8/25/2022</c:v>
                </c:pt>
                <c:pt idx="36">
                  <c:v>8/26/2022</c:v>
                </c:pt>
                <c:pt idx="37">
                  <c:v>8/29/2022</c:v>
                </c:pt>
                <c:pt idx="38">
                  <c:v>8/30/2022</c:v>
                </c:pt>
                <c:pt idx="39">
                  <c:v>8/31/2022</c:v>
                </c:pt>
                <c:pt idx="40">
                  <c:v>9/1/2022</c:v>
                </c:pt>
                <c:pt idx="41">
                  <c:v>9/2/2022</c:v>
                </c:pt>
                <c:pt idx="42">
                  <c:v>9/5/2022</c:v>
                </c:pt>
                <c:pt idx="43">
                  <c:v>9/6/2022</c:v>
                </c:pt>
                <c:pt idx="44">
                  <c:v>9/7/2022</c:v>
                </c:pt>
                <c:pt idx="45">
                  <c:v>9/9/2022</c:v>
                </c:pt>
                <c:pt idx="46">
                  <c:v>9/13/2022</c:v>
                </c:pt>
                <c:pt idx="47">
                  <c:v>9/14/2022</c:v>
                </c:pt>
                <c:pt idx="48">
                  <c:v>9/15/2022</c:v>
                </c:pt>
                <c:pt idx="49">
                  <c:v>9/16/2022</c:v>
                </c:pt>
                <c:pt idx="50">
                  <c:v>9/19/2022</c:v>
                </c:pt>
                <c:pt idx="51">
                  <c:v>9/20/2022</c:v>
                </c:pt>
                <c:pt idx="52">
                  <c:v>9/21/2022</c:v>
                </c:pt>
                <c:pt idx="53">
                  <c:v>9/22/2022</c:v>
                </c:pt>
                <c:pt idx="54">
                  <c:v>9/23/2022</c:v>
                </c:pt>
                <c:pt idx="55">
                  <c:v>9/26/2022</c:v>
                </c:pt>
                <c:pt idx="56">
                  <c:v>9/27/2022</c:v>
                </c:pt>
                <c:pt idx="57">
                  <c:v>9/28/2022</c:v>
                </c:pt>
                <c:pt idx="58">
                  <c:v>9/29/2022</c:v>
                </c:pt>
                <c:pt idx="59">
                  <c:v>9/30/2022</c:v>
                </c:pt>
                <c:pt idx="60">
                  <c:v>10/3/2022</c:v>
                </c:pt>
                <c:pt idx="61">
                  <c:v>10/4/2022</c:v>
                </c:pt>
                <c:pt idx="62">
                  <c:v>10/5/2022</c:v>
                </c:pt>
                <c:pt idx="63">
                  <c:v>10/6/2022</c:v>
                </c:pt>
                <c:pt idx="64">
                  <c:v>10/7/2022</c:v>
                </c:pt>
                <c:pt idx="65">
                  <c:v>10/10/2022</c:v>
                </c:pt>
                <c:pt idx="66">
                  <c:v>10/11/2022</c:v>
                </c:pt>
                <c:pt idx="67">
                  <c:v>10/12/2022</c:v>
                </c:pt>
                <c:pt idx="68">
                  <c:v>10/13/2022</c:v>
                </c:pt>
                <c:pt idx="69">
                  <c:v>10/14/2022</c:v>
                </c:pt>
                <c:pt idx="70">
                  <c:v>10/17/2022</c:v>
                </c:pt>
                <c:pt idx="71">
                  <c:v>10/18/2022</c:v>
                </c:pt>
                <c:pt idx="72">
                  <c:v>10/19/2022</c:v>
                </c:pt>
                <c:pt idx="73">
                  <c:v>10/20/2022</c:v>
                </c:pt>
                <c:pt idx="74">
                  <c:v>10/21/2022</c:v>
                </c:pt>
                <c:pt idx="75">
                  <c:v>10/24/2022</c:v>
                </c:pt>
                <c:pt idx="76">
                  <c:v>10/25/2022</c:v>
                </c:pt>
                <c:pt idx="77">
                  <c:v>10/26/2022</c:v>
                </c:pt>
                <c:pt idx="78">
                  <c:v>10/27/2022</c:v>
                </c:pt>
                <c:pt idx="79">
                  <c:v>10/28/2022</c:v>
                </c:pt>
                <c:pt idx="80">
                  <c:v>10/31/2022</c:v>
                </c:pt>
                <c:pt idx="81">
                  <c:v>11/1/2022</c:v>
                </c:pt>
                <c:pt idx="82">
                  <c:v>11/2/2022</c:v>
                </c:pt>
                <c:pt idx="83">
                  <c:v>11/3/2022</c:v>
                </c:pt>
                <c:pt idx="84">
                  <c:v>11/4/2022</c:v>
                </c:pt>
                <c:pt idx="85">
                  <c:v>11/8/2022</c:v>
                </c:pt>
                <c:pt idx="86">
                  <c:v>11/9/2022</c:v>
                </c:pt>
                <c:pt idx="87">
                  <c:v>11/10/2022</c:v>
                </c:pt>
                <c:pt idx="88">
                  <c:v>11/11/2022</c:v>
                </c:pt>
                <c:pt idx="89">
                  <c:v>11/15/2022</c:v>
                </c:pt>
                <c:pt idx="90">
                  <c:v>11/16/2022</c:v>
                </c:pt>
                <c:pt idx="91">
                  <c:v>11/17/2022</c:v>
                </c:pt>
                <c:pt idx="92">
                  <c:v>11/18/2022</c:v>
                </c:pt>
                <c:pt idx="93">
                  <c:v>11/21/2022</c:v>
                </c:pt>
                <c:pt idx="94">
                  <c:v>11/22/2022</c:v>
                </c:pt>
                <c:pt idx="95">
                  <c:v>11/23/2022</c:v>
                </c:pt>
                <c:pt idx="96">
                  <c:v>11/24/2022</c:v>
                </c:pt>
                <c:pt idx="97">
                  <c:v>11/25/2022</c:v>
                </c:pt>
                <c:pt idx="98">
                  <c:v>11/28/2022</c:v>
                </c:pt>
                <c:pt idx="99">
                  <c:v>11/30/2022</c:v>
                </c:pt>
                <c:pt idx="100">
                  <c:v>12/1/2022</c:v>
                </c:pt>
                <c:pt idx="101">
                  <c:v>12/2/2022</c:v>
                </c:pt>
                <c:pt idx="102">
                  <c:v>12/5/2022</c:v>
                </c:pt>
                <c:pt idx="103">
                  <c:v>12/6/2022</c:v>
                </c:pt>
                <c:pt idx="104">
                  <c:v>12/8/2022</c:v>
                </c:pt>
                <c:pt idx="105">
                  <c:v>12/9/2022</c:v>
                </c:pt>
                <c:pt idx="106">
                  <c:v>12/12/2022</c:v>
                </c:pt>
                <c:pt idx="107">
                  <c:v>12/13/2022</c:v>
                </c:pt>
                <c:pt idx="108">
                  <c:v>12/14/2022</c:v>
                </c:pt>
                <c:pt idx="109">
                  <c:v>12/15/2022</c:v>
                </c:pt>
                <c:pt idx="110">
                  <c:v>12/16/2022</c:v>
                </c:pt>
                <c:pt idx="111">
                  <c:v>12/19/2022</c:v>
                </c:pt>
                <c:pt idx="112">
                  <c:v>12/20/2022</c:v>
                </c:pt>
                <c:pt idx="113">
                  <c:v>12/22/2022</c:v>
                </c:pt>
                <c:pt idx="114">
                  <c:v>12/23/2022</c:v>
                </c:pt>
                <c:pt idx="115">
                  <c:v>12/27/2022</c:v>
                </c:pt>
                <c:pt idx="116">
                  <c:v>12/28/2022</c:v>
                </c:pt>
                <c:pt idx="117">
                  <c:v>12/29/2022</c:v>
                </c:pt>
                <c:pt idx="118">
                  <c:v>12/30/2022</c:v>
                </c:pt>
                <c:pt idx="119">
                  <c:v>1/2/2023</c:v>
                </c:pt>
                <c:pt idx="120">
                  <c:v>1/3/2023</c:v>
                </c:pt>
                <c:pt idx="121">
                  <c:v>1/4/2023</c:v>
                </c:pt>
                <c:pt idx="122">
                  <c:v>1/5/2023</c:v>
                </c:pt>
                <c:pt idx="123">
                  <c:v>1/9/2023</c:v>
                </c:pt>
                <c:pt idx="124">
                  <c:v>1/10/2023</c:v>
                </c:pt>
                <c:pt idx="125">
                  <c:v>1/11/2023</c:v>
                </c:pt>
                <c:pt idx="126">
                  <c:v>1/12/2023</c:v>
                </c:pt>
                <c:pt idx="127">
                  <c:v>1/13/2023</c:v>
                </c:pt>
                <c:pt idx="128">
                  <c:v>1/16/2023</c:v>
                </c:pt>
                <c:pt idx="129">
                  <c:v>1/17/2023</c:v>
                </c:pt>
                <c:pt idx="130">
                  <c:v>1/18/2023</c:v>
                </c:pt>
                <c:pt idx="131">
                  <c:v>1/19/2023</c:v>
                </c:pt>
                <c:pt idx="132">
                  <c:v>1/20/2023</c:v>
                </c:pt>
                <c:pt idx="133">
                  <c:v>1/23/2023</c:v>
                </c:pt>
                <c:pt idx="134">
                  <c:v>1/24/2023</c:v>
                </c:pt>
                <c:pt idx="135">
                  <c:v>1/25/2023</c:v>
                </c:pt>
                <c:pt idx="136">
                  <c:v>1/26/2023</c:v>
                </c:pt>
                <c:pt idx="137">
                  <c:v>1/27/2023</c:v>
                </c:pt>
                <c:pt idx="138">
                  <c:v>1/30/2023</c:v>
                </c:pt>
                <c:pt idx="139">
                  <c:v>1/31/2023</c:v>
                </c:pt>
                <c:pt idx="140">
                  <c:v>2/1/2023</c:v>
                </c:pt>
                <c:pt idx="141">
                  <c:v>2/2/2023</c:v>
                </c:pt>
                <c:pt idx="142">
                  <c:v>2/3/2023</c:v>
                </c:pt>
                <c:pt idx="143">
                  <c:v>2/6/2023</c:v>
                </c:pt>
                <c:pt idx="144">
                  <c:v>2/7/2023</c:v>
                </c:pt>
                <c:pt idx="145">
                  <c:v>2/8/2023</c:v>
                </c:pt>
                <c:pt idx="146">
                  <c:v>2/9/2023</c:v>
                </c:pt>
                <c:pt idx="147">
                  <c:v>2/10/2023</c:v>
                </c:pt>
                <c:pt idx="148">
                  <c:v>2/13/2023</c:v>
                </c:pt>
                <c:pt idx="149">
                  <c:v>2/14/2023</c:v>
                </c:pt>
                <c:pt idx="150">
                  <c:v>2/15/2023</c:v>
                </c:pt>
                <c:pt idx="151">
                  <c:v>2/16/2023</c:v>
                </c:pt>
                <c:pt idx="152">
                  <c:v>2/17/2023</c:v>
                </c:pt>
                <c:pt idx="153">
                  <c:v>2/20/2023</c:v>
                </c:pt>
                <c:pt idx="154">
                  <c:v>2/21/2023</c:v>
                </c:pt>
                <c:pt idx="155">
                  <c:v>2/22/2023</c:v>
                </c:pt>
                <c:pt idx="156">
                  <c:v>2/23/2023</c:v>
                </c:pt>
                <c:pt idx="157">
                  <c:v>2/24/2023</c:v>
                </c:pt>
                <c:pt idx="158">
                  <c:v>2/27/2023</c:v>
                </c:pt>
                <c:pt idx="159">
                  <c:v>2/28/2023</c:v>
                </c:pt>
                <c:pt idx="160">
                  <c:v>3/1/2023</c:v>
                </c:pt>
                <c:pt idx="161">
                  <c:v>3/2/2023</c:v>
                </c:pt>
                <c:pt idx="162">
                  <c:v>3/3/2023</c:v>
                </c:pt>
                <c:pt idx="163">
                  <c:v>3/7/2023</c:v>
                </c:pt>
                <c:pt idx="164">
                  <c:v>3/8/2023</c:v>
                </c:pt>
                <c:pt idx="165">
                  <c:v>3/9/2023</c:v>
                </c:pt>
                <c:pt idx="166">
                  <c:v>3/10/2023</c:v>
                </c:pt>
                <c:pt idx="167">
                  <c:v>3/13/2023</c:v>
                </c:pt>
                <c:pt idx="168">
                  <c:v>3/14/2023</c:v>
                </c:pt>
                <c:pt idx="169">
                  <c:v>3/15/2023</c:v>
                </c:pt>
                <c:pt idx="170">
                  <c:v>3/16/2023</c:v>
                </c:pt>
                <c:pt idx="171">
                  <c:v>3/17/2023</c:v>
                </c:pt>
                <c:pt idx="172">
                  <c:v>3/20/2023</c:v>
                </c:pt>
                <c:pt idx="173">
                  <c:v>3/21/2023</c:v>
                </c:pt>
                <c:pt idx="174">
                  <c:v>3/22/2023</c:v>
                </c:pt>
                <c:pt idx="175">
                  <c:v>3/23/2023</c:v>
                </c:pt>
                <c:pt idx="176">
                  <c:v>3/24/2023</c:v>
                </c:pt>
                <c:pt idx="177">
                  <c:v>3/27/2023</c:v>
                </c:pt>
                <c:pt idx="178">
                  <c:v>3/28/2023</c:v>
                </c:pt>
                <c:pt idx="179">
                  <c:v>3/29/2023</c:v>
                </c:pt>
                <c:pt idx="180">
                  <c:v>3/30/2023</c:v>
                </c:pt>
                <c:pt idx="181">
                  <c:v>3/31/2023</c:v>
                </c:pt>
                <c:pt idx="182">
                  <c:v>4/3/2023</c:v>
                </c:pt>
                <c:pt idx="183">
                  <c:v>4/4/2023</c:v>
                </c:pt>
                <c:pt idx="184">
                  <c:v>4/6/2023</c:v>
                </c:pt>
                <c:pt idx="185">
                  <c:v>4/7/2023</c:v>
                </c:pt>
                <c:pt idx="186">
                  <c:v>4/10/2023</c:v>
                </c:pt>
                <c:pt idx="187">
                  <c:v>4/17/2023</c:v>
                </c:pt>
                <c:pt idx="188">
                  <c:v>4/18/2023</c:v>
                </c:pt>
                <c:pt idx="189">
                  <c:v>4/19/2023</c:v>
                </c:pt>
                <c:pt idx="190">
                  <c:v>4/20/2023</c:v>
                </c:pt>
                <c:pt idx="191">
                  <c:v>4/21/2023</c:v>
                </c:pt>
                <c:pt idx="192">
                  <c:v>4/24/2023</c:v>
                </c:pt>
                <c:pt idx="193">
                  <c:v>4/25/2023</c:v>
                </c:pt>
                <c:pt idx="194">
                  <c:v>4/26/2023</c:v>
                </c:pt>
                <c:pt idx="195">
                  <c:v>4/27/2023</c:v>
                </c:pt>
                <c:pt idx="196">
                  <c:v>4/28/2023</c:v>
                </c:pt>
                <c:pt idx="197">
                  <c:v>5/2/2023</c:v>
                </c:pt>
                <c:pt idx="198">
                  <c:v>5/3/2023</c:v>
                </c:pt>
                <c:pt idx="199">
                  <c:v>5/4/2023</c:v>
                </c:pt>
                <c:pt idx="200">
                  <c:v>5/8/2023</c:v>
                </c:pt>
                <c:pt idx="201">
                  <c:v>5/9/2023</c:v>
                </c:pt>
                <c:pt idx="202">
                  <c:v>5/10/2023</c:v>
                </c:pt>
                <c:pt idx="203">
                  <c:v>5/11/2023</c:v>
                </c:pt>
                <c:pt idx="204">
                  <c:v>5/12/2023</c:v>
                </c:pt>
                <c:pt idx="205">
                  <c:v>5/15/2023</c:v>
                </c:pt>
                <c:pt idx="206">
                  <c:v>5/16/2023</c:v>
                </c:pt>
                <c:pt idx="207">
                  <c:v>5/17/2023</c:v>
                </c:pt>
                <c:pt idx="208">
                  <c:v>5/18/2023</c:v>
                </c:pt>
                <c:pt idx="209">
                  <c:v>5/19/2023</c:v>
                </c:pt>
                <c:pt idx="210">
                  <c:v>5/22/2023</c:v>
                </c:pt>
                <c:pt idx="211">
                  <c:v>5/23/2023</c:v>
                </c:pt>
                <c:pt idx="212">
                  <c:v>5/24/2023</c:v>
                </c:pt>
                <c:pt idx="213">
                  <c:v>5/25/2023</c:v>
                </c:pt>
                <c:pt idx="214">
                  <c:v>5/26/2023</c:v>
                </c:pt>
                <c:pt idx="215">
                  <c:v>5/29/2023</c:v>
                </c:pt>
                <c:pt idx="216">
                  <c:v>5/30/2023</c:v>
                </c:pt>
                <c:pt idx="217">
                  <c:v>5/31/2023</c:v>
                </c:pt>
                <c:pt idx="218">
                  <c:v>6/1/2023</c:v>
                </c:pt>
                <c:pt idx="219">
                  <c:v>6/2/2023</c:v>
                </c:pt>
                <c:pt idx="220">
                  <c:v>6/5/2023</c:v>
                </c:pt>
                <c:pt idx="221">
                  <c:v>6/6/2023</c:v>
                </c:pt>
                <c:pt idx="222">
                  <c:v>6/7/2023</c:v>
                </c:pt>
                <c:pt idx="223">
                  <c:v>6/8/2023</c:v>
                </c:pt>
                <c:pt idx="224">
                  <c:v>6/9/2023</c:v>
                </c:pt>
                <c:pt idx="225">
                  <c:v>6/12/2023</c:v>
                </c:pt>
                <c:pt idx="226">
                  <c:v>6/14/2023</c:v>
                </c:pt>
                <c:pt idx="227">
                  <c:v>6/15/2023</c:v>
                </c:pt>
                <c:pt idx="228">
                  <c:v>6/16/2023</c:v>
                </c:pt>
                <c:pt idx="229">
                  <c:v>6/19/2023</c:v>
                </c:pt>
                <c:pt idx="230">
                  <c:v>6/20/2023</c:v>
                </c:pt>
                <c:pt idx="231">
                  <c:v>6/21/2023</c:v>
                </c:pt>
                <c:pt idx="232">
                  <c:v>6/22/2023</c:v>
                </c:pt>
                <c:pt idx="233">
                  <c:v>6/23/2023</c:v>
                </c:pt>
                <c:pt idx="234">
                  <c:v>6/26/2023</c:v>
                </c:pt>
                <c:pt idx="235">
                  <c:v>6/27/2023</c:v>
                </c:pt>
                <c:pt idx="236">
                  <c:v>6/28/2023</c:v>
                </c:pt>
                <c:pt idx="237">
                  <c:v>6/29/2023</c:v>
                </c:pt>
                <c:pt idx="238">
                  <c:v>6/30/2023</c:v>
                </c:pt>
                <c:pt idx="239">
                  <c:v>7/4/2023</c:v>
                </c:pt>
                <c:pt idx="240">
                  <c:v>7/5/2023</c:v>
                </c:pt>
                <c:pt idx="241">
                  <c:v>7/6/2023</c:v>
                </c:pt>
                <c:pt idx="242">
                  <c:v>7/7/2023</c:v>
                </c:pt>
                <c:pt idx="243">
                  <c:v>7/10/2023</c:v>
                </c:pt>
                <c:pt idx="244">
                  <c:v>7/11/2023</c:v>
                </c:pt>
                <c:pt idx="245">
                  <c:v>7/12/2023</c:v>
                </c:pt>
                <c:pt idx="246">
                  <c:v>7/13/2023</c:v>
                </c:pt>
                <c:pt idx="247">
                  <c:v>7/14/2023</c:v>
                </c:pt>
                <c:pt idx="248">
                  <c:v>7/17/2023</c:v>
                </c:pt>
                <c:pt idx="249">
                  <c:v>7/21/2023</c:v>
                </c:pt>
              </c:strCache>
            </c:strRef>
          </c:cat>
          <c:val>
            <c:numRef>
              <c:f>'WH Occu. trend Analysis'!$Q$600:$Q$850</c:f>
              <c:numCache>
                <c:formatCode>General</c:formatCode>
                <c:ptCount val="250"/>
                <c:pt idx="0">
                  <c:v>7352.740490000002</c:v>
                </c:pt>
                <c:pt idx="1">
                  <c:v>7403.1691900000023</c:v>
                </c:pt>
                <c:pt idx="2">
                  <c:v>7626.3810900000017</c:v>
                </c:pt>
                <c:pt idx="3">
                  <c:v>7594.32935</c:v>
                </c:pt>
                <c:pt idx="4">
                  <c:v>7241.2570500000029</c:v>
                </c:pt>
                <c:pt idx="5">
                  <c:v>7594.32935</c:v>
                </c:pt>
                <c:pt idx="6">
                  <c:v>6565.5348500000009</c:v>
                </c:pt>
                <c:pt idx="7">
                  <c:v>6365.4121659999983</c:v>
                </c:pt>
                <c:pt idx="8">
                  <c:v>6268.7707659999996</c:v>
                </c:pt>
                <c:pt idx="9">
                  <c:v>6323.4500660000003</c:v>
                </c:pt>
                <c:pt idx="10">
                  <c:v>6323.4500660000022</c:v>
                </c:pt>
                <c:pt idx="11">
                  <c:v>6234.6795726000018</c:v>
                </c:pt>
                <c:pt idx="12">
                  <c:v>6217.5195726000011</c:v>
                </c:pt>
                <c:pt idx="13">
                  <c:v>6156.184855999998</c:v>
                </c:pt>
                <c:pt idx="14">
                  <c:v>6099.7400813000013</c:v>
                </c:pt>
                <c:pt idx="15">
                  <c:v>6099.1174759999994</c:v>
                </c:pt>
                <c:pt idx="16">
                  <c:v>6034.2606759999999</c:v>
                </c:pt>
                <c:pt idx="17">
                  <c:v>5872.2964880999998</c:v>
                </c:pt>
                <c:pt idx="18">
                  <c:v>5707.3804430000009</c:v>
                </c:pt>
                <c:pt idx="19">
                  <c:v>5864.8388430000005</c:v>
                </c:pt>
                <c:pt idx="20">
                  <c:v>5864.7408430000014</c:v>
                </c:pt>
                <c:pt idx="21">
                  <c:v>5824.4886447000008</c:v>
                </c:pt>
                <c:pt idx="22">
                  <c:v>5805.7190000000001</c:v>
                </c:pt>
                <c:pt idx="23">
                  <c:v>5149.6572099999994</c:v>
                </c:pt>
                <c:pt idx="24">
                  <c:v>5032.3258500000002</c:v>
                </c:pt>
                <c:pt idx="25">
                  <c:v>5030.2896500000006</c:v>
                </c:pt>
                <c:pt idx="26">
                  <c:v>5078.6867834000004</c:v>
                </c:pt>
                <c:pt idx="27">
                  <c:v>5014.6393320000006</c:v>
                </c:pt>
                <c:pt idx="28">
                  <c:v>4977.3452319999997</c:v>
                </c:pt>
                <c:pt idx="29">
                  <c:v>4992.9897820000006</c:v>
                </c:pt>
                <c:pt idx="30">
                  <c:v>5115.4573120000005</c:v>
                </c:pt>
                <c:pt idx="31">
                  <c:v>5388.6489619999993</c:v>
                </c:pt>
                <c:pt idx="32">
                  <c:v>5211.9663007000017</c:v>
                </c:pt>
                <c:pt idx="33">
                  <c:v>5296.247685600003</c:v>
                </c:pt>
                <c:pt idx="34">
                  <c:v>5404.7697203999996</c:v>
                </c:pt>
                <c:pt idx="35">
                  <c:v>5277.085320000002</c:v>
                </c:pt>
                <c:pt idx="36">
                  <c:v>5273</c:v>
                </c:pt>
                <c:pt idx="37">
                  <c:v>4879.8115200000011</c:v>
                </c:pt>
                <c:pt idx="38">
                  <c:v>4746.0012200000001</c:v>
                </c:pt>
                <c:pt idx="39">
                  <c:v>4592.6444605999986</c:v>
                </c:pt>
                <c:pt idx="40">
                  <c:v>4374.8565859999999</c:v>
                </c:pt>
                <c:pt idx="41">
                  <c:v>4425.4127860000008</c:v>
                </c:pt>
                <c:pt idx="42">
                  <c:v>4091.8415859999991</c:v>
                </c:pt>
                <c:pt idx="43">
                  <c:v>4197.1976859999995</c:v>
                </c:pt>
                <c:pt idx="44">
                  <c:v>4302.846286</c:v>
                </c:pt>
                <c:pt idx="45">
                  <c:v>4438.7220420000003</c:v>
                </c:pt>
                <c:pt idx="46">
                  <c:v>4513</c:v>
                </c:pt>
                <c:pt idx="47">
                  <c:v>4333.971841999999</c:v>
                </c:pt>
                <c:pt idx="48">
                  <c:v>3999.5900419999998</c:v>
                </c:pt>
                <c:pt idx="49">
                  <c:v>4356.9572419999986</c:v>
                </c:pt>
                <c:pt idx="50">
                  <c:v>4408.7908420000003</c:v>
                </c:pt>
                <c:pt idx="51">
                  <c:v>4281.9641419999989</c:v>
                </c:pt>
                <c:pt idx="52">
                  <c:v>4429.664342</c:v>
                </c:pt>
                <c:pt idx="53">
                  <c:v>4369.3295420000004</c:v>
                </c:pt>
                <c:pt idx="54">
                  <c:v>4710</c:v>
                </c:pt>
                <c:pt idx="55">
                  <c:v>4435.6407419999996</c:v>
                </c:pt>
                <c:pt idx="56">
                  <c:v>4361</c:v>
                </c:pt>
                <c:pt idx="57">
                  <c:v>4358</c:v>
                </c:pt>
                <c:pt idx="58">
                  <c:v>4558</c:v>
                </c:pt>
                <c:pt idx="59">
                  <c:v>4948</c:v>
                </c:pt>
                <c:pt idx="60">
                  <c:v>4659</c:v>
                </c:pt>
                <c:pt idx="61">
                  <c:v>4837.7183473000014</c:v>
                </c:pt>
                <c:pt idx="62">
                  <c:v>4730</c:v>
                </c:pt>
                <c:pt idx="63">
                  <c:v>4879</c:v>
                </c:pt>
                <c:pt idx="64">
                  <c:v>4971</c:v>
                </c:pt>
                <c:pt idx="65">
                  <c:v>4853</c:v>
                </c:pt>
                <c:pt idx="66">
                  <c:v>4913</c:v>
                </c:pt>
                <c:pt idx="67">
                  <c:v>4783</c:v>
                </c:pt>
                <c:pt idx="68">
                  <c:v>4898</c:v>
                </c:pt>
                <c:pt idx="69">
                  <c:v>4893</c:v>
                </c:pt>
                <c:pt idx="70">
                  <c:v>4806</c:v>
                </c:pt>
                <c:pt idx="71">
                  <c:v>4726</c:v>
                </c:pt>
                <c:pt idx="72">
                  <c:v>4600</c:v>
                </c:pt>
                <c:pt idx="73">
                  <c:v>4613</c:v>
                </c:pt>
                <c:pt idx="74">
                  <c:v>4811</c:v>
                </c:pt>
                <c:pt idx="75">
                  <c:v>4850</c:v>
                </c:pt>
                <c:pt idx="76">
                  <c:v>4920</c:v>
                </c:pt>
                <c:pt idx="77">
                  <c:v>5217</c:v>
                </c:pt>
                <c:pt idx="78">
                  <c:v>5299</c:v>
                </c:pt>
                <c:pt idx="79">
                  <c:v>5574</c:v>
                </c:pt>
                <c:pt idx="80">
                  <c:v>5717</c:v>
                </c:pt>
                <c:pt idx="81">
                  <c:v>5800</c:v>
                </c:pt>
                <c:pt idx="82">
                  <c:v>5672</c:v>
                </c:pt>
                <c:pt idx="83">
                  <c:v>5633</c:v>
                </c:pt>
                <c:pt idx="84">
                  <c:v>5876</c:v>
                </c:pt>
                <c:pt idx="85">
                  <c:v>5767</c:v>
                </c:pt>
                <c:pt idx="86">
                  <c:v>5641</c:v>
                </c:pt>
                <c:pt idx="87">
                  <c:v>5331</c:v>
                </c:pt>
                <c:pt idx="88">
                  <c:v>5232</c:v>
                </c:pt>
                <c:pt idx="89">
                  <c:v>5495</c:v>
                </c:pt>
                <c:pt idx="90">
                  <c:v>5482</c:v>
                </c:pt>
                <c:pt idx="91">
                  <c:v>5456</c:v>
                </c:pt>
                <c:pt idx="92">
                  <c:v>5502</c:v>
                </c:pt>
                <c:pt idx="93">
                  <c:v>5614</c:v>
                </c:pt>
                <c:pt idx="94">
                  <c:v>5504</c:v>
                </c:pt>
                <c:pt idx="95">
                  <c:v>5524</c:v>
                </c:pt>
                <c:pt idx="96">
                  <c:v>5541</c:v>
                </c:pt>
                <c:pt idx="97">
                  <c:v>5420</c:v>
                </c:pt>
                <c:pt idx="98">
                  <c:v>5502</c:v>
                </c:pt>
                <c:pt idx="99">
                  <c:v>5411</c:v>
                </c:pt>
                <c:pt idx="100">
                  <c:v>5388</c:v>
                </c:pt>
                <c:pt idx="101">
                  <c:v>5512</c:v>
                </c:pt>
                <c:pt idx="102">
                  <c:v>5396</c:v>
                </c:pt>
                <c:pt idx="103">
                  <c:v>5357</c:v>
                </c:pt>
                <c:pt idx="104">
                  <c:v>5278</c:v>
                </c:pt>
                <c:pt idx="105">
                  <c:v>5114</c:v>
                </c:pt>
                <c:pt idx="106">
                  <c:v>5108</c:v>
                </c:pt>
                <c:pt idx="107">
                  <c:v>4863</c:v>
                </c:pt>
                <c:pt idx="108">
                  <c:v>5028</c:v>
                </c:pt>
                <c:pt idx="109">
                  <c:v>4961</c:v>
                </c:pt>
                <c:pt idx="110">
                  <c:v>5223</c:v>
                </c:pt>
                <c:pt idx="111">
                  <c:v>4840</c:v>
                </c:pt>
                <c:pt idx="112">
                  <c:v>4643</c:v>
                </c:pt>
                <c:pt idx="113">
                  <c:v>4123</c:v>
                </c:pt>
                <c:pt idx="114">
                  <c:v>4120</c:v>
                </c:pt>
                <c:pt idx="115">
                  <c:v>4380</c:v>
                </c:pt>
                <c:pt idx="116">
                  <c:v>4371</c:v>
                </c:pt>
                <c:pt idx="117">
                  <c:v>4355</c:v>
                </c:pt>
                <c:pt idx="118">
                  <c:v>4420</c:v>
                </c:pt>
                <c:pt idx="119">
                  <c:v>4703</c:v>
                </c:pt>
                <c:pt idx="120">
                  <c:v>4454</c:v>
                </c:pt>
                <c:pt idx="121">
                  <c:v>4569</c:v>
                </c:pt>
                <c:pt idx="122">
                  <c:v>4630</c:v>
                </c:pt>
                <c:pt idx="123">
                  <c:v>4557</c:v>
                </c:pt>
                <c:pt idx="124">
                  <c:v>4649</c:v>
                </c:pt>
                <c:pt idx="125">
                  <c:v>4767</c:v>
                </c:pt>
                <c:pt idx="126">
                  <c:v>4811</c:v>
                </c:pt>
                <c:pt idx="127">
                  <c:v>4969</c:v>
                </c:pt>
                <c:pt idx="128">
                  <c:v>5066</c:v>
                </c:pt>
                <c:pt idx="129">
                  <c:v>4903</c:v>
                </c:pt>
                <c:pt idx="130">
                  <c:v>5022</c:v>
                </c:pt>
                <c:pt idx="131">
                  <c:v>5070</c:v>
                </c:pt>
                <c:pt idx="132">
                  <c:v>5301</c:v>
                </c:pt>
                <c:pt idx="133">
                  <c:v>5256.8794204000005</c:v>
                </c:pt>
                <c:pt idx="134">
                  <c:v>5280.8305960999996</c:v>
                </c:pt>
                <c:pt idx="135">
                  <c:v>5201.7446185000008</c:v>
                </c:pt>
                <c:pt idx="136">
                  <c:v>5327.4541551999991</c:v>
                </c:pt>
                <c:pt idx="137">
                  <c:v>5449.8080652999997</c:v>
                </c:pt>
                <c:pt idx="138">
                  <c:v>5333.2075985999982</c:v>
                </c:pt>
                <c:pt idx="139">
                  <c:v>5466.7061229999999</c:v>
                </c:pt>
                <c:pt idx="140">
                  <c:v>5308.6689111999995</c:v>
                </c:pt>
                <c:pt idx="141">
                  <c:v>4966.5306230000006</c:v>
                </c:pt>
                <c:pt idx="142">
                  <c:v>5155.1202229999999</c:v>
                </c:pt>
                <c:pt idx="143">
                  <c:v>4822.1186669999988</c:v>
                </c:pt>
                <c:pt idx="144">
                  <c:v>4762.5360169999985</c:v>
                </c:pt>
                <c:pt idx="145">
                  <c:v>4828.640786599999</c:v>
                </c:pt>
                <c:pt idx="146">
                  <c:v>4723.9265720000003</c:v>
                </c:pt>
                <c:pt idx="147">
                  <c:v>4581.0796469999987</c:v>
                </c:pt>
                <c:pt idx="148">
                  <c:v>4173.080481</c:v>
                </c:pt>
                <c:pt idx="149">
                  <c:v>4238.9759080000003</c:v>
                </c:pt>
                <c:pt idx="150">
                  <c:v>4355.0633542999994</c:v>
                </c:pt>
                <c:pt idx="151">
                  <c:v>4203.6958485999994</c:v>
                </c:pt>
                <c:pt idx="152">
                  <c:v>4231.8853079999999</c:v>
                </c:pt>
                <c:pt idx="153">
                  <c:v>4126.6613084000001</c:v>
                </c:pt>
                <c:pt idx="154">
                  <c:v>4112.1971629999998</c:v>
                </c:pt>
                <c:pt idx="155">
                  <c:v>4321.2955867999999</c:v>
                </c:pt>
                <c:pt idx="156">
                  <c:v>4093.0649214999989</c:v>
                </c:pt>
                <c:pt idx="157">
                  <c:v>4089.4628528999997</c:v>
                </c:pt>
                <c:pt idx="158">
                  <c:v>3933.9993596000004</c:v>
                </c:pt>
                <c:pt idx="159">
                  <c:v>3951.727766</c:v>
                </c:pt>
                <c:pt idx="160">
                  <c:v>4181.1739659999994</c:v>
                </c:pt>
                <c:pt idx="161">
                  <c:v>3903.7934819999996</c:v>
                </c:pt>
                <c:pt idx="162">
                  <c:v>3938.1704818000003</c:v>
                </c:pt>
                <c:pt idx="163">
                  <c:v>4017.5844820000002</c:v>
                </c:pt>
                <c:pt idx="164">
                  <c:v>4140.3689820000009</c:v>
                </c:pt>
                <c:pt idx="165">
                  <c:v>4007.4996350000001</c:v>
                </c:pt>
                <c:pt idx="166">
                  <c:v>4006.8656349999997</c:v>
                </c:pt>
                <c:pt idx="167">
                  <c:v>4089.5314850000009</c:v>
                </c:pt>
                <c:pt idx="168">
                  <c:v>4099.9298849999996</c:v>
                </c:pt>
                <c:pt idx="169">
                  <c:v>4220.4547476000007</c:v>
                </c:pt>
                <c:pt idx="170">
                  <c:v>4019.0063139999997</c:v>
                </c:pt>
                <c:pt idx="171">
                  <c:v>3987.1319210000006</c:v>
                </c:pt>
                <c:pt idx="172">
                  <c:v>3975.8807443000005</c:v>
                </c:pt>
                <c:pt idx="173">
                  <c:v>4020.6706881999999</c:v>
                </c:pt>
                <c:pt idx="174">
                  <c:v>4158.7615381999994</c:v>
                </c:pt>
                <c:pt idx="175">
                  <c:v>3987.3721284000017</c:v>
                </c:pt>
                <c:pt idx="176">
                  <c:v>3958.4622493999996</c:v>
                </c:pt>
                <c:pt idx="177">
                  <c:v>4062.9174360000006</c:v>
                </c:pt>
                <c:pt idx="178">
                  <c:v>4074.0306492999998</c:v>
                </c:pt>
                <c:pt idx="179">
                  <c:v>4107.382171000002</c:v>
                </c:pt>
                <c:pt idx="180">
                  <c:v>4093.3575410000017</c:v>
                </c:pt>
                <c:pt idx="181">
                  <c:v>4172.5855410000013</c:v>
                </c:pt>
                <c:pt idx="182">
                  <c:v>4002.2956410000006</c:v>
                </c:pt>
                <c:pt idx="183">
                  <c:v>4002.2956410000006</c:v>
                </c:pt>
                <c:pt idx="184">
                  <c:v>4042.6023468000008</c:v>
                </c:pt>
                <c:pt idx="185">
                  <c:v>4110.7233513000001</c:v>
                </c:pt>
                <c:pt idx="186">
                  <c:v>4187.5847513000017</c:v>
                </c:pt>
                <c:pt idx="187">
                  <c:v>4205.9700512999989</c:v>
                </c:pt>
                <c:pt idx="188">
                  <c:v>4126.9134513000008</c:v>
                </c:pt>
                <c:pt idx="189">
                  <c:v>4161.4706377000011</c:v>
                </c:pt>
                <c:pt idx="190">
                  <c:v>3984.0050302000004</c:v>
                </c:pt>
                <c:pt idx="191">
                  <c:v>4133.7889562</c:v>
                </c:pt>
                <c:pt idx="192">
                  <c:v>3923.1901405000003</c:v>
                </c:pt>
                <c:pt idx="193">
                  <c:v>3935.6921136000005</c:v>
                </c:pt>
                <c:pt idx="194">
                  <c:v>3935.6921136000005</c:v>
                </c:pt>
                <c:pt idx="195">
                  <c:v>3795.5908441000006</c:v>
                </c:pt>
                <c:pt idx="196">
                  <c:v>3794.1599591000008</c:v>
                </c:pt>
                <c:pt idx="197">
                  <c:v>3865.5011449999993</c:v>
                </c:pt>
                <c:pt idx="198">
                  <c:v>3959.0688449999998</c:v>
                </c:pt>
                <c:pt idx="199">
                  <c:v>3791.2885449999999</c:v>
                </c:pt>
                <c:pt idx="200">
                  <c:v>3724.4400046999999</c:v>
                </c:pt>
                <c:pt idx="201">
                  <c:v>3710.0971311000008</c:v>
                </c:pt>
                <c:pt idx="202">
                  <c:v>3550.3507739999991</c:v>
                </c:pt>
                <c:pt idx="203">
                  <c:v>3423.1544740000004</c:v>
                </c:pt>
                <c:pt idx="204">
                  <c:v>3433.9772050000001</c:v>
                </c:pt>
                <c:pt idx="205">
                  <c:v>3518.4473050000011</c:v>
                </c:pt>
                <c:pt idx="206">
                  <c:v>3598.4904050000005</c:v>
                </c:pt>
                <c:pt idx="207">
                  <c:v>3765.2322933000014</c:v>
                </c:pt>
                <c:pt idx="208">
                  <c:v>3684.1935998000013</c:v>
                </c:pt>
                <c:pt idx="209">
                  <c:v>3661.703115400001</c:v>
                </c:pt>
                <c:pt idx="210">
                  <c:v>3720.9744361000003</c:v>
                </c:pt>
                <c:pt idx="211">
                  <c:v>3698.6580483000012</c:v>
                </c:pt>
                <c:pt idx="212">
                  <c:v>3846.7272338000012</c:v>
                </c:pt>
                <c:pt idx="213">
                  <c:v>3693.9073529999996</c:v>
                </c:pt>
                <c:pt idx="214">
                  <c:v>3719.7162134</c:v>
                </c:pt>
                <c:pt idx="215">
                  <c:v>3884.3313253000006</c:v>
                </c:pt>
                <c:pt idx="216">
                  <c:v>3888.8244915000005</c:v>
                </c:pt>
                <c:pt idx="217">
                  <c:v>3997.9878750000003</c:v>
                </c:pt>
                <c:pt idx="218">
                  <c:v>3895.5321749999998</c:v>
                </c:pt>
                <c:pt idx="219">
                  <c:v>3975.5734749999992</c:v>
                </c:pt>
                <c:pt idx="220">
                  <c:v>3975.5734749999992</c:v>
                </c:pt>
                <c:pt idx="221">
                  <c:v>3994.4202749999999</c:v>
                </c:pt>
                <c:pt idx="222">
                  <c:v>4096.6214668999992</c:v>
                </c:pt>
                <c:pt idx="223">
                  <c:v>3937.8281250000005</c:v>
                </c:pt>
                <c:pt idx="224">
                  <c:v>4084.944625000001</c:v>
                </c:pt>
                <c:pt idx="225">
                  <c:v>4163.0326249999998</c:v>
                </c:pt>
                <c:pt idx="226">
                  <c:v>4341.8032690000009</c:v>
                </c:pt>
                <c:pt idx="227">
                  <c:v>4184.0102690000003</c:v>
                </c:pt>
                <c:pt idx="228">
                  <c:v>4345.821418999999</c:v>
                </c:pt>
                <c:pt idx="229">
                  <c:v>4446.2487190000002</c:v>
                </c:pt>
                <c:pt idx="230">
                  <c:v>4383.7953324999999</c:v>
                </c:pt>
                <c:pt idx="231">
                  <c:v>4267.6793833999991</c:v>
                </c:pt>
                <c:pt idx="232">
                  <c:v>4117.4874200000004</c:v>
                </c:pt>
                <c:pt idx="233">
                  <c:v>4235.566108</c:v>
                </c:pt>
                <c:pt idx="234">
                  <c:v>4213.4237207999995</c:v>
                </c:pt>
                <c:pt idx="235">
                  <c:v>4249.0075051999993</c:v>
                </c:pt>
                <c:pt idx="236">
                  <c:v>4195.8921829999999</c:v>
                </c:pt>
                <c:pt idx="237">
                  <c:v>4248.9999853000008</c:v>
                </c:pt>
                <c:pt idx="238">
                  <c:v>4307.2507859999996</c:v>
                </c:pt>
                <c:pt idx="239">
                  <c:v>4354.7991860000011</c:v>
                </c:pt>
                <c:pt idx="240">
                  <c:v>4328.3594119999998</c:v>
                </c:pt>
                <c:pt idx="241">
                  <c:v>4257.5937119999999</c:v>
                </c:pt>
                <c:pt idx="242">
                  <c:v>4203.0130688999989</c:v>
                </c:pt>
                <c:pt idx="243">
                  <c:v>4300.9528040000005</c:v>
                </c:pt>
                <c:pt idx="244">
                  <c:v>4397.7037980000005</c:v>
                </c:pt>
                <c:pt idx="245">
                  <c:v>4522.5832387999981</c:v>
                </c:pt>
                <c:pt idx="246">
                  <c:v>4340.7838120000006</c:v>
                </c:pt>
                <c:pt idx="247">
                  <c:v>4399.0575440000002</c:v>
                </c:pt>
                <c:pt idx="248">
                  <c:v>4515.154005100002</c:v>
                </c:pt>
                <c:pt idx="249">
                  <c:v>4837.7183473000014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EF-4D8D-AA29-3E9316D09C00}"/>
            </c:ext>
          </c:extLst>
        </c:ser>
        <c:ser>
          <c:idx val="3"/>
          <c:order val="3"/>
          <c:tx>
            <c:strRef>
              <c:f>'WH Occu. trend Analysis'!$R$599</c:f>
              <c:strCache>
                <c:ptCount val="1"/>
                <c:pt idx="0">
                  <c:v>Peliyagoda DC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'WH Occu. trend Analysis'!$N$600:$N$850</c:f>
              <c:strCache>
                <c:ptCount val="250"/>
                <c:pt idx="0">
                  <c:v>7/4/2022</c:v>
                </c:pt>
                <c:pt idx="1">
                  <c:v>7/5/2022</c:v>
                </c:pt>
                <c:pt idx="2">
                  <c:v>7/6/2022</c:v>
                </c:pt>
                <c:pt idx="3">
                  <c:v>7/7/2022</c:v>
                </c:pt>
                <c:pt idx="4">
                  <c:v>7/8/2022</c:v>
                </c:pt>
                <c:pt idx="5">
                  <c:v>7/11/2022</c:v>
                </c:pt>
                <c:pt idx="6">
                  <c:v>7/12/2022</c:v>
                </c:pt>
                <c:pt idx="7">
                  <c:v>7/14/2022</c:v>
                </c:pt>
                <c:pt idx="8">
                  <c:v>7/15/2022</c:v>
                </c:pt>
                <c:pt idx="9">
                  <c:v>7/18/2022</c:v>
                </c:pt>
                <c:pt idx="10">
                  <c:v>7/19/2022</c:v>
                </c:pt>
                <c:pt idx="11">
                  <c:v>7/20/2022</c:v>
                </c:pt>
                <c:pt idx="12">
                  <c:v>7/21/2022</c:v>
                </c:pt>
                <c:pt idx="13">
                  <c:v>7/22/2022</c:v>
                </c:pt>
                <c:pt idx="14">
                  <c:v>7/25/2022</c:v>
                </c:pt>
                <c:pt idx="15">
                  <c:v>7/26/2022</c:v>
                </c:pt>
                <c:pt idx="16">
                  <c:v>7/27/2022</c:v>
                </c:pt>
                <c:pt idx="17">
                  <c:v>7/28/2022</c:v>
                </c:pt>
                <c:pt idx="18">
                  <c:v>7/29/2022</c:v>
                </c:pt>
                <c:pt idx="19">
                  <c:v>8/1/2022</c:v>
                </c:pt>
                <c:pt idx="20">
                  <c:v>8/2/2022</c:v>
                </c:pt>
                <c:pt idx="21">
                  <c:v>8/3/2022</c:v>
                </c:pt>
                <c:pt idx="22">
                  <c:v>8/4/2022</c:v>
                </c:pt>
                <c:pt idx="23">
                  <c:v>8/5/2022</c:v>
                </c:pt>
                <c:pt idx="24">
                  <c:v>8/8/2022</c:v>
                </c:pt>
                <c:pt idx="25">
                  <c:v>8/9/2022</c:v>
                </c:pt>
                <c:pt idx="26">
                  <c:v>8/10/2022</c:v>
                </c:pt>
                <c:pt idx="27">
                  <c:v>8/15/2022</c:v>
                </c:pt>
                <c:pt idx="28">
                  <c:v>8/16/2022</c:v>
                </c:pt>
                <c:pt idx="29">
                  <c:v>8/17/2022</c:v>
                </c:pt>
                <c:pt idx="30">
                  <c:v>8/18/2022</c:v>
                </c:pt>
                <c:pt idx="31">
                  <c:v>8/19/2022</c:v>
                </c:pt>
                <c:pt idx="32">
                  <c:v>8/22/2022</c:v>
                </c:pt>
                <c:pt idx="33">
                  <c:v>8/23/2022</c:v>
                </c:pt>
                <c:pt idx="34">
                  <c:v>8/24/2022</c:v>
                </c:pt>
                <c:pt idx="35">
                  <c:v>8/25/2022</c:v>
                </c:pt>
                <c:pt idx="36">
                  <c:v>8/26/2022</c:v>
                </c:pt>
                <c:pt idx="37">
                  <c:v>8/29/2022</c:v>
                </c:pt>
                <c:pt idx="38">
                  <c:v>8/30/2022</c:v>
                </c:pt>
                <c:pt idx="39">
                  <c:v>8/31/2022</c:v>
                </c:pt>
                <c:pt idx="40">
                  <c:v>9/1/2022</c:v>
                </c:pt>
                <c:pt idx="41">
                  <c:v>9/2/2022</c:v>
                </c:pt>
                <c:pt idx="42">
                  <c:v>9/5/2022</c:v>
                </c:pt>
                <c:pt idx="43">
                  <c:v>9/6/2022</c:v>
                </c:pt>
                <c:pt idx="44">
                  <c:v>9/7/2022</c:v>
                </c:pt>
                <c:pt idx="45">
                  <c:v>9/9/2022</c:v>
                </c:pt>
                <c:pt idx="46">
                  <c:v>9/13/2022</c:v>
                </c:pt>
                <c:pt idx="47">
                  <c:v>9/14/2022</c:v>
                </c:pt>
                <c:pt idx="48">
                  <c:v>9/15/2022</c:v>
                </c:pt>
                <c:pt idx="49">
                  <c:v>9/16/2022</c:v>
                </c:pt>
                <c:pt idx="50">
                  <c:v>9/19/2022</c:v>
                </c:pt>
                <c:pt idx="51">
                  <c:v>9/20/2022</c:v>
                </c:pt>
                <c:pt idx="52">
                  <c:v>9/21/2022</c:v>
                </c:pt>
                <c:pt idx="53">
                  <c:v>9/22/2022</c:v>
                </c:pt>
                <c:pt idx="54">
                  <c:v>9/23/2022</c:v>
                </c:pt>
                <c:pt idx="55">
                  <c:v>9/26/2022</c:v>
                </c:pt>
                <c:pt idx="56">
                  <c:v>9/27/2022</c:v>
                </c:pt>
                <c:pt idx="57">
                  <c:v>9/28/2022</c:v>
                </c:pt>
                <c:pt idx="58">
                  <c:v>9/29/2022</c:v>
                </c:pt>
                <c:pt idx="59">
                  <c:v>9/30/2022</c:v>
                </c:pt>
                <c:pt idx="60">
                  <c:v>10/3/2022</c:v>
                </c:pt>
                <c:pt idx="61">
                  <c:v>10/4/2022</c:v>
                </c:pt>
                <c:pt idx="62">
                  <c:v>10/5/2022</c:v>
                </c:pt>
                <c:pt idx="63">
                  <c:v>10/6/2022</c:v>
                </c:pt>
                <c:pt idx="64">
                  <c:v>10/7/2022</c:v>
                </c:pt>
                <c:pt idx="65">
                  <c:v>10/10/2022</c:v>
                </c:pt>
                <c:pt idx="66">
                  <c:v>10/11/2022</c:v>
                </c:pt>
                <c:pt idx="67">
                  <c:v>10/12/2022</c:v>
                </c:pt>
                <c:pt idx="68">
                  <c:v>10/13/2022</c:v>
                </c:pt>
                <c:pt idx="69">
                  <c:v>10/14/2022</c:v>
                </c:pt>
                <c:pt idx="70">
                  <c:v>10/17/2022</c:v>
                </c:pt>
                <c:pt idx="71">
                  <c:v>10/18/2022</c:v>
                </c:pt>
                <c:pt idx="72">
                  <c:v>10/19/2022</c:v>
                </c:pt>
                <c:pt idx="73">
                  <c:v>10/20/2022</c:v>
                </c:pt>
                <c:pt idx="74">
                  <c:v>10/21/2022</c:v>
                </c:pt>
                <c:pt idx="75">
                  <c:v>10/24/2022</c:v>
                </c:pt>
                <c:pt idx="76">
                  <c:v>10/25/2022</c:v>
                </c:pt>
                <c:pt idx="77">
                  <c:v>10/26/2022</c:v>
                </c:pt>
                <c:pt idx="78">
                  <c:v>10/27/2022</c:v>
                </c:pt>
                <c:pt idx="79">
                  <c:v>10/28/2022</c:v>
                </c:pt>
                <c:pt idx="80">
                  <c:v>10/31/2022</c:v>
                </c:pt>
                <c:pt idx="81">
                  <c:v>11/1/2022</c:v>
                </c:pt>
                <c:pt idx="82">
                  <c:v>11/2/2022</c:v>
                </c:pt>
                <c:pt idx="83">
                  <c:v>11/3/2022</c:v>
                </c:pt>
                <c:pt idx="84">
                  <c:v>11/4/2022</c:v>
                </c:pt>
                <c:pt idx="85">
                  <c:v>11/8/2022</c:v>
                </c:pt>
                <c:pt idx="86">
                  <c:v>11/9/2022</c:v>
                </c:pt>
                <c:pt idx="87">
                  <c:v>11/10/2022</c:v>
                </c:pt>
                <c:pt idx="88">
                  <c:v>11/11/2022</c:v>
                </c:pt>
                <c:pt idx="89">
                  <c:v>11/15/2022</c:v>
                </c:pt>
                <c:pt idx="90">
                  <c:v>11/16/2022</c:v>
                </c:pt>
                <c:pt idx="91">
                  <c:v>11/17/2022</c:v>
                </c:pt>
                <c:pt idx="92">
                  <c:v>11/18/2022</c:v>
                </c:pt>
                <c:pt idx="93">
                  <c:v>11/21/2022</c:v>
                </c:pt>
                <c:pt idx="94">
                  <c:v>11/22/2022</c:v>
                </c:pt>
                <c:pt idx="95">
                  <c:v>11/23/2022</c:v>
                </c:pt>
                <c:pt idx="96">
                  <c:v>11/24/2022</c:v>
                </c:pt>
                <c:pt idx="97">
                  <c:v>11/25/2022</c:v>
                </c:pt>
                <c:pt idx="98">
                  <c:v>11/28/2022</c:v>
                </c:pt>
                <c:pt idx="99">
                  <c:v>11/30/2022</c:v>
                </c:pt>
                <c:pt idx="100">
                  <c:v>12/1/2022</c:v>
                </c:pt>
                <c:pt idx="101">
                  <c:v>12/2/2022</c:v>
                </c:pt>
                <c:pt idx="102">
                  <c:v>12/5/2022</c:v>
                </c:pt>
                <c:pt idx="103">
                  <c:v>12/6/2022</c:v>
                </c:pt>
                <c:pt idx="104">
                  <c:v>12/8/2022</c:v>
                </c:pt>
                <c:pt idx="105">
                  <c:v>12/9/2022</c:v>
                </c:pt>
                <c:pt idx="106">
                  <c:v>12/12/2022</c:v>
                </c:pt>
                <c:pt idx="107">
                  <c:v>12/13/2022</c:v>
                </c:pt>
                <c:pt idx="108">
                  <c:v>12/14/2022</c:v>
                </c:pt>
                <c:pt idx="109">
                  <c:v>12/15/2022</c:v>
                </c:pt>
                <c:pt idx="110">
                  <c:v>12/16/2022</c:v>
                </c:pt>
                <c:pt idx="111">
                  <c:v>12/19/2022</c:v>
                </c:pt>
                <c:pt idx="112">
                  <c:v>12/20/2022</c:v>
                </c:pt>
                <c:pt idx="113">
                  <c:v>12/22/2022</c:v>
                </c:pt>
                <c:pt idx="114">
                  <c:v>12/23/2022</c:v>
                </c:pt>
                <c:pt idx="115">
                  <c:v>12/27/2022</c:v>
                </c:pt>
                <c:pt idx="116">
                  <c:v>12/28/2022</c:v>
                </c:pt>
                <c:pt idx="117">
                  <c:v>12/29/2022</c:v>
                </c:pt>
                <c:pt idx="118">
                  <c:v>12/30/2022</c:v>
                </c:pt>
                <c:pt idx="119">
                  <c:v>1/2/2023</c:v>
                </c:pt>
                <c:pt idx="120">
                  <c:v>1/3/2023</c:v>
                </c:pt>
                <c:pt idx="121">
                  <c:v>1/4/2023</c:v>
                </c:pt>
                <c:pt idx="122">
                  <c:v>1/5/2023</c:v>
                </c:pt>
                <c:pt idx="123">
                  <c:v>1/9/2023</c:v>
                </c:pt>
                <c:pt idx="124">
                  <c:v>1/10/2023</c:v>
                </c:pt>
                <c:pt idx="125">
                  <c:v>1/11/2023</c:v>
                </c:pt>
                <c:pt idx="126">
                  <c:v>1/12/2023</c:v>
                </c:pt>
                <c:pt idx="127">
                  <c:v>1/13/2023</c:v>
                </c:pt>
                <c:pt idx="128">
                  <c:v>1/16/2023</c:v>
                </c:pt>
                <c:pt idx="129">
                  <c:v>1/17/2023</c:v>
                </c:pt>
                <c:pt idx="130">
                  <c:v>1/18/2023</c:v>
                </c:pt>
                <c:pt idx="131">
                  <c:v>1/19/2023</c:v>
                </c:pt>
                <c:pt idx="132">
                  <c:v>1/20/2023</c:v>
                </c:pt>
                <c:pt idx="133">
                  <c:v>1/23/2023</c:v>
                </c:pt>
                <c:pt idx="134">
                  <c:v>1/24/2023</c:v>
                </c:pt>
                <c:pt idx="135">
                  <c:v>1/25/2023</c:v>
                </c:pt>
                <c:pt idx="136">
                  <c:v>1/26/2023</c:v>
                </c:pt>
                <c:pt idx="137">
                  <c:v>1/27/2023</c:v>
                </c:pt>
                <c:pt idx="138">
                  <c:v>1/30/2023</c:v>
                </c:pt>
                <c:pt idx="139">
                  <c:v>1/31/2023</c:v>
                </c:pt>
                <c:pt idx="140">
                  <c:v>2/1/2023</c:v>
                </c:pt>
                <c:pt idx="141">
                  <c:v>2/2/2023</c:v>
                </c:pt>
                <c:pt idx="142">
                  <c:v>2/3/2023</c:v>
                </c:pt>
                <c:pt idx="143">
                  <c:v>2/6/2023</c:v>
                </c:pt>
                <c:pt idx="144">
                  <c:v>2/7/2023</c:v>
                </c:pt>
                <c:pt idx="145">
                  <c:v>2/8/2023</c:v>
                </c:pt>
                <c:pt idx="146">
                  <c:v>2/9/2023</c:v>
                </c:pt>
                <c:pt idx="147">
                  <c:v>2/10/2023</c:v>
                </c:pt>
                <c:pt idx="148">
                  <c:v>2/13/2023</c:v>
                </c:pt>
                <c:pt idx="149">
                  <c:v>2/14/2023</c:v>
                </c:pt>
                <c:pt idx="150">
                  <c:v>2/15/2023</c:v>
                </c:pt>
                <c:pt idx="151">
                  <c:v>2/16/2023</c:v>
                </c:pt>
                <c:pt idx="152">
                  <c:v>2/17/2023</c:v>
                </c:pt>
                <c:pt idx="153">
                  <c:v>2/20/2023</c:v>
                </c:pt>
                <c:pt idx="154">
                  <c:v>2/21/2023</c:v>
                </c:pt>
                <c:pt idx="155">
                  <c:v>2/22/2023</c:v>
                </c:pt>
                <c:pt idx="156">
                  <c:v>2/23/2023</c:v>
                </c:pt>
                <c:pt idx="157">
                  <c:v>2/24/2023</c:v>
                </c:pt>
                <c:pt idx="158">
                  <c:v>2/27/2023</c:v>
                </c:pt>
                <c:pt idx="159">
                  <c:v>2/28/2023</c:v>
                </c:pt>
                <c:pt idx="160">
                  <c:v>3/1/2023</c:v>
                </c:pt>
                <c:pt idx="161">
                  <c:v>3/2/2023</c:v>
                </c:pt>
                <c:pt idx="162">
                  <c:v>3/3/2023</c:v>
                </c:pt>
                <c:pt idx="163">
                  <c:v>3/7/2023</c:v>
                </c:pt>
                <c:pt idx="164">
                  <c:v>3/8/2023</c:v>
                </c:pt>
                <c:pt idx="165">
                  <c:v>3/9/2023</c:v>
                </c:pt>
                <c:pt idx="166">
                  <c:v>3/10/2023</c:v>
                </c:pt>
                <c:pt idx="167">
                  <c:v>3/13/2023</c:v>
                </c:pt>
                <c:pt idx="168">
                  <c:v>3/14/2023</c:v>
                </c:pt>
                <c:pt idx="169">
                  <c:v>3/15/2023</c:v>
                </c:pt>
                <c:pt idx="170">
                  <c:v>3/16/2023</c:v>
                </c:pt>
                <c:pt idx="171">
                  <c:v>3/17/2023</c:v>
                </c:pt>
                <c:pt idx="172">
                  <c:v>3/20/2023</c:v>
                </c:pt>
                <c:pt idx="173">
                  <c:v>3/21/2023</c:v>
                </c:pt>
                <c:pt idx="174">
                  <c:v>3/22/2023</c:v>
                </c:pt>
                <c:pt idx="175">
                  <c:v>3/23/2023</c:v>
                </c:pt>
                <c:pt idx="176">
                  <c:v>3/24/2023</c:v>
                </c:pt>
                <c:pt idx="177">
                  <c:v>3/27/2023</c:v>
                </c:pt>
                <c:pt idx="178">
                  <c:v>3/28/2023</c:v>
                </c:pt>
                <c:pt idx="179">
                  <c:v>3/29/2023</c:v>
                </c:pt>
                <c:pt idx="180">
                  <c:v>3/30/2023</c:v>
                </c:pt>
                <c:pt idx="181">
                  <c:v>3/31/2023</c:v>
                </c:pt>
                <c:pt idx="182">
                  <c:v>4/3/2023</c:v>
                </c:pt>
                <c:pt idx="183">
                  <c:v>4/4/2023</c:v>
                </c:pt>
                <c:pt idx="184">
                  <c:v>4/6/2023</c:v>
                </c:pt>
                <c:pt idx="185">
                  <c:v>4/7/2023</c:v>
                </c:pt>
                <c:pt idx="186">
                  <c:v>4/10/2023</c:v>
                </c:pt>
                <c:pt idx="187">
                  <c:v>4/17/2023</c:v>
                </c:pt>
                <c:pt idx="188">
                  <c:v>4/18/2023</c:v>
                </c:pt>
                <c:pt idx="189">
                  <c:v>4/19/2023</c:v>
                </c:pt>
                <c:pt idx="190">
                  <c:v>4/20/2023</c:v>
                </c:pt>
                <c:pt idx="191">
                  <c:v>4/21/2023</c:v>
                </c:pt>
                <c:pt idx="192">
                  <c:v>4/24/2023</c:v>
                </c:pt>
                <c:pt idx="193">
                  <c:v>4/25/2023</c:v>
                </c:pt>
                <c:pt idx="194">
                  <c:v>4/26/2023</c:v>
                </c:pt>
                <c:pt idx="195">
                  <c:v>4/27/2023</c:v>
                </c:pt>
                <c:pt idx="196">
                  <c:v>4/28/2023</c:v>
                </c:pt>
                <c:pt idx="197">
                  <c:v>5/2/2023</c:v>
                </c:pt>
                <c:pt idx="198">
                  <c:v>5/3/2023</c:v>
                </c:pt>
                <c:pt idx="199">
                  <c:v>5/4/2023</c:v>
                </c:pt>
                <c:pt idx="200">
                  <c:v>5/8/2023</c:v>
                </c:pt>
                <c:pt idx="201">
                  <c:v>5/9/2023</c:v>
                </c:pt>
                <c:pt idx="202">
                  <c:v>5/10/2023</c:v>
                </c:pt>
                <c:pt idx="203">
                  <c:v>5/11/2023</c:v>
                </c:pt>
                <c:pt idx="204">
                  <c:v>5/12/2023</c:v>
                </c:pt>
                <c:pt idx="205">
                  <c:v>5/15/2023</c:v>
                </c:pt>
                <c:pt idx="206">
                  <c:v>5/16/2023</c:v>
                </c:pt>
                <c:pt idx="207">
                  <c:v>5/17/2023</c:v>
                </c:pt>
                <c:pt idx="208">
                  <c:v>5/18/2023</c:v>
                </c:pt>
                <c:pt idx="209">
                  <c:v>5/19/2023</c:v>
                </c:pt>
                <c:pt idx="210">
                  <c:v>5/22/2023</c:v>
                </c:pt>
                <c:pt idx="211">
                  <c:v>5/23/2023</c:v>
                </c:pt>
                <c:pt idx="212">
                  <c:v>5/24/2023</c:v>
                </c:pt>
                <c:pt idx="213">
                  <c:v>5/25/2023</c:v>
                </c:pt>
                <c:pt idx="214">
                  <c:v>5/26/2023</c:v>
                </c:pt>
                <c:pt idx="215">
                  <c:v>5/29/2023</c:v>
                </c:pt>
                <c:pt idx="216">
                  <c:v>5/30/2023</c:v>
                </c:pt>
                <c:pt idx="217">
                  <c:v>5/31/2023</c:v>
                </c:pt>
                <c:pt idx="218">
                  <c:v>6/1/2023</c:v>
                </c:pt>
                <c:pt idx="219">
                  <c:v>6/2/2023</c:v>
                </c:pt>
                <c:pt idx="220">
                  <c:v>6/5/2023</c:v>
                </c:pt>
                <c:pt idx="221">
                  <c:v>6/6/2023</c:v>
                </c:pt>
                <c:pt idx="222">
                  <c:v>6/7/2023</c:v>
                </c:pt>
                <c:pt idx="223">
                  <c:v>6/8/2023</c:v>
                </c:pt>
                <c:pt idx="224">
                  <c:v>6/9/2023</c:v>
                </c:pt>
                <c:pt idx="225">
                  <c:v>6/12/2023</c:v>
                </c:pt>
                <c:pt idx="226">
                  <c:v>6/14/2023</c:v>
                </c:pt>
                <c:pt idx="227">
                  <c:v>6/15/2023</c:v>
                </c:pt>
                <c:pt idx="228">
                  <c:v>6/16/2023</c:v>
                </c:pt>
                <c:pt idx="229">
                  <c:v>6/19/2023</c:v>
                </c:pt>
                <c:pt idx="230">
                  <c:v>6/20/2023</c:v>
                </c:pt>
                <c:pt idx="231">
                  <c:v>6/21/2023</c:v>
                </c:pt>
                <c:pt idx="232">
                  <c:v>6/22/2023</c:v>
                </c:pt>
                <c:pt idx="233">
                  <c:v>6/23/2023</c:v>
                </c:pt>
                <c:pt idx="234">
                  <c:v>6/26/2023</c:v>
                </c:pt>
                <c:pt idx="235">
                  <c:v>6/27/2023</c:v>
                </c:pt>
                <c:pt idx="236">
                  <c:v>6/28/2023</c:v>
                </c:pt>
                <c:pt idx="237">
                  <c:v>6/29/2023</c:v>
                </c:pt>
                <c:pt idx="238">
                  <c:v>6/30/2023</c:v>
                </c:pt>
                <c:pt idx="239">
                  <c:v>7/4/2023</c:v>
                </c:pt>
                <c:pt idx="240">
                  <c:v>7/5/2023</c:v>
                </c:pt>
                <c:pt idx="241">
                  <c:v>7/6/2023</c:v>
                </c:pt>
                <c:pt idx="242">
                  <c:v>7/7/2023</c:v>
                </c:pt>
                <c:pt idx="243">
                  <c:v>7/10/2023</c:v>
                </c:pt>
                <c:pt idx="244">
                  <c:v>7/11/2023</c:v>
                </c:pt>
                <c:pt idx="245">
                  <c:v>7/12/2023</c:v>
                </c:pt>
                <c:pt idx="246">
                  <c:v>7/13/2023</c:v>
                </c:pt>
                <c:pt idx="247">
                  <c:v>7/14/2023</c:v>
                </c:pt>
                <c:pt idx="248">
                  <c:v>7/17/2023</c:v>
                </c:pt>
                <c:pt idx="249">
                  <c:v>7/21/2023</c:v>
                </c:pt>
              </c:strCache>
            </c:strRef>
          </c:cat>
          <c:val>
            <c:numRef>
              <c:f>'WH Occu. trend Analysis'!$R$600:$R$850</c:f>
              <c:numCache>
                <c:formatCode>General</c:formatCode>
                <c:ptCount val="250"/>
                <c:pt idx="0">
                  <c:v>9503.8731999999982</c:v>
                </c:pt>
                <c:pt idx="1">
                  <c:v>9379.0812000000005</c:v>
                </c:pt>
                <c:pt idx="2">
                  <c:v>9379.0812000000005</c:v>
                </c:pt>
                <c:pt idx="3">
                  <c:v>9247.1641999999993</c:v>
                </c:pt>
                <c:pt idx="4">
                  <c:v>9332.738199999998</c:v>
                </c:pt>
                <c:pt idx="5">
                  <c:v>9247.1641999999993</c:v>
                </c:pt>
                <c:pt idx="6">
                  <c:v>8638.7540000000008</c:v>
                </c:pt>
                <c:pt idx="7">
                  <c:v>8822.2498999999989</c:v>
                </c:pt>
                <c:pt idx="8">
                  <c:v>8747.313900000001</c:v>
                </c:pt>
                <c:pt idx="9">
                  <c:v>8845.7389999999996</c:v>
                </c:pt>
                <c:pt idx="10">
                  <c:v>8951.9709999999995</c:v>
                </c:pt>
                <c:pt idx="11">
                  <c:v>9205.273900000002</c:v>
                </c:pt>
                <c:pt idx="12">
                  <c:v>9292.0298999999995</c:v>
                </c:pt>
                <c:pt idx="13">
                  <c:v>9225.4868999999981</c:v>
                </c:pt>
                <c:pt idx="14">
                  <c:v>8825.905999999999</c:v>
                </c:pt>
                <c:pt idx="15">
                  <c:v>8417.764000000001</c:v>
                </c:pt>
                <c:pt idx="16">
                  <c:v>8731</c:v>
                </c:pt>
                <c:pt idx="17">
                  <c:v>8765.8670000000002</c:v>
                </c:pt>
                <c:pt idx="18">
                  <c:v>8821.0709000000006</c:v>
                </c:pt>
                <c:pt idx="19">
                  <c:v>8678.4890000000014</c:v>
                </c:pt>
                <c:pt idx="20">
                  <c:v>8707.3169999999991</c:v>
                </c:pt>
                <c:pt idx="21">
                  <c:v>8733.2560000000012</c:v>
                </c:pt>
                <c:pt idx="22">
                  <c:v>8544.2345000000005</c:v>
                </c:pt>
                <c:pt idx="23">
                  <c:v>8493.2338999999993</c:v>
                </c:pt>
                <c:pt idx="24">
                  <c:v>8591.0430000000015</c:v>
                </c:pt>
                <c:pt idx="25">
                  <c:v>8759.0649999999987</c:v>
                </c:pt>
                <c:pt idx="26">
                  <c:v>8872.7168999999976</c:v>
                </c:pt>
                <c:pt idx="27">
                  <c:v>8998.7358999999997</c:v>
                </c:pt>
                <c:pt idx="28">
                  <c:v>9260.5608999999986</c:v>
                </c:pt>
                <c:pt idx="29">
                  <c:v>9197.7329000000009</c:v>
                </c:pt>
                <c:pt idx="30">
                  <c:v>9149.5169000000005</c:v>
                </c:pt>
                <c:pt idx="31">
                  <c:v>9179.9079000000002</c:v>
                </c:pt>
                <c:pt idx="32">
                  <c:v>9001.1018999999997</c:v>
                </c:pt>
                <c:pt idx="33">
                  <c:v>9265.0699000000004</c:v>
                </c:pt>
                <c:pt idx="34">
                  <c:v>9168.0228999999981</c:v>
                </c:pt>
                <c:pt idx="35">
                  <c:v>9052.6413999999986</c:v>
                </c:pt>
                <c:pt idx="36">
                  <c:v>9015</c:v>
                </c:pt>
                <c:pt idx="37">
                  <c:v>8891.5960000000014</c:v>
                </c:pt>
                <c:pt idx="38">
                  <c:v>8999.2820000000011</c:v>
                </c:pt>
                <c:pt idx="39">
                  <c:v>8849.8948999999975</c:v>
                </c:pt>
                <c:pt idx="40">
                  <c:v>8710.3989000000001</c:v>
                </c:pt>
                <c:pt idx="41">
                  <c:v>8999.2820000000011</c:v>
                </c:pt>
                <c:pt idx="42">
                  <c:v>8311.7839999999997</c:v>
                </c:pt>
                <c:pt idx="43">
                  <c:v>8442.2289999999994</c:v>
                </c:pt>
                <c:pt idx="44">
                  <c:v>8370.93</c:v>
                </c:pt>
                <c:pt idx="45">
                  <c:v>8379.2299000000003</c:v>
                </c:pt>
                <c:pt idx="46">
                  <c:v>8160</c:v>
                </c:pt>
                <c:pt idx="47">
                  <c:v>8223.6489000000001</c:v>
                </c:pt>
                <c:pt idx="48">
                  <c:v>8143.5540000000001</c:v>
                </c:pt>
                <c:pt idx="49">
                  <c:v>7926.1369000000004</c:v>
                </c:pt>
                <c:pt idx="50">
                  <c:v>7592.2008999999998</c:v>
                </c:pt>
                <c:pt idx="51">
                  <c:v>7742.7568999999994</c:v>
                </c:pt>
                <c:pt idx="52">
                  <c:v>7635.6089999999995</c:v>
                </c:pt>
                <c:pt idx="53">
                  <c:v>7694.861899999999</c:v>
                </c:pt>
                <c:pt idx="54">
                  <c:v>7623</c:v>
                </c:pt>
                <c:pt idx="55">
                  <c:v>7278.4129000000003</c:v>
                </c:pt>
                <c:pt idx="56">
                  <c:v>7424</c:v>
                </c:pt>
                <c:pt idx="57">
                  <c:v>7310</c:v>
                </c:pt>
                <c:pt idx="58">
                  <c:v>7325</c:v>
                </c:pt>
                <c:pt idx="59">
                  <c:v>7226</c:v>
                </c:pt>
                <c:pt idx="60">
                  <c:v>7217</c:v>
                </c:pt>
                <c:pt idx="61">
                  <c:v>7417.5608999999995</c:v>
                </c:pt>
                <c:pt idx="62">
                  <c:v>7435</c:v>
                </c:pt>
                <c:pt idx="63">
                  <c:v>7307</c:v>
                </c:pt>
                <c:pt idx="64">
                  <c:v>7269</c:v>
                </c:pt>
                <c:pt idx="65">
                  <c:v>7058</c:v>
                </c:pt>
                <c:pt idx="66">
                  <c:v>7406</c:v>
                </c:pt>
                <c:pt idx="67">
                  <c:v>7489</c:v>
                </c:pt>
                <c:pt idx="68">
                  <c:v>7549</c:v>
                </c:pt>
                <c:pt idx="69">
                  <c:v>7367</c:v>
                </c:pt>
                <c:pt idx="70">
                  <c:v>7098</c:v>
                </c:pt>
                <c:pt idx="71">
                  <c:v>7238</c:v>
                </c:pt>
                <c:pt idx="72">
                  <c:v>7114</c:v>
                </c:pt>
                <c:pt idx="73">
                  <c:v>7153</c:v>
                </c:pt>
                <c:pt idx="74">
                  <c:v>7062</c:v>
                </c:pt>
                <c:pt idx="75">
                  <c:v>6938</c:v>
                </c:pt>
                <c:pt idx="76">
                  <c:v>7209</c:v>
                </c:pt>
                <c:pt idx="77">
                  <c:v>7519</c:v>
                </c:pt>
                <c:pt idx="78">
                  <c:v>7752</c:v>
                </c:pt>
                <c:pt idx="79">
                  <c:v>7844</c:v>
                </c:pt>
                <c:pt idx="80">
                  <c:v>7910</c:v>
                </c:pt>
                <c:pt idx="81">
                  <c:v>8012</c:v>
                </c:pt>
                <c:pt idx="82">
                  <c:v>8109</c:v>
                </c:pt>
                <c:pt idx="83">
                  <c:v>8174</c:v>
                </c:pt>
                <c:pt idx="84">
                  <c:v>8129</c:v>
                </c:pt>
                <c:pt idx="85">
                  <c:v>7979</c:v>
                </c:pt>
                <c:pt idx="86">
                  <c:v>8089</c:v>
                </c:pt>
                <c:pt idx="87">
                  <c:v>8309</c:v>
                </c:pt>
                <c:pt idx="88">
                  <c:v>8449</c:v>
                </c:pt>
                <c:pt idx="89">
                  <c:v>8562</c:v>
                </c:pt>
                <c:pt idx="90">
                  <c:v>8676</c:v>
                </c:pt>
                <c:pt idx="91">
                  <c:v>8652</c:v>
                </c:pt>
                <c:pt idx="92">
                  <c:v>8770</c:v>
                </c:pt>
                <c:pt idx="93">
                  <c:v>8674</c:v>
                </c:pt>
                <c:pt idx="94">
                  <c:v>8774</c:v>
                </c:pt>
                <c:pt idx="95">
                  <c:v>8913</c:v>
                </c:pt>
                <c:pt idx="96">
                  <c:v>8914</c:v>
                </c:pt>
                <c:pt idx="97">
                  <c:v>8925</c:v>
                </c:pt>
                <c:pt idx="98">
                  <c:v>8441</c:v>
                </c:pt>
                <c:pt idx="99">
                  <c:v>8480</c:v>
                </c:pt>
                <c:pt idx="100">
                  <c:v>8528</c:v>
                </c:pt>
                <c:pt idx="101">
                  <c:v>8449</c:v>
                </c:pt>
                <c:pt idx="102">
                  <c:v>8097</c:v>
                </c:pt>
                <c:pt idx="103">
                  <c:v>8192</c:v>
                </c:pt>
                <c:pt idx="104">
                  <c:v>8199</c:v>
                </c:pt>
                <c:pt idx="105">
                  <c:v>8448</c:v>
                </c:pt>
                <c:pt idx="106">
                  <c:v>8076</c:v>
                </c:pt>
                <c:pt idx="107">
                  <c:v>8187</c:v>
                </c:pt>
                <c:pt idx="108">
                  <c:v>8306</c:v>
                </c:pt>
                <c:pt idx="109">
                  <c:v>8349</c:v>
                </c:pt>
                <c:pt idx="110">
                  <c:v>8261</c:v>
                </c:pt>
                <c:pt idx="111">
                  <c:v>8060</c:v>
                </c:pt>
                <c:pt idx="112">
                  <c:v>8078</c:v>
                </c:pt>
                <c:pt idx="113">
                  <c:v>8118</c:v>
                </c:pt>
                <c:pt idx="114">
                  <c:v>8168</c:v>
                </c:pt>
                <c:pt idx="115">
                  <c:v>8081</c:v>
                </c:pt>
                <c:pt idx="116">
                  <c:v>7997</c:v>
                </c:pt>
                <c:pt idx="117">
                  <c:v>7970</c:v>
                </c:pt>
                <c:pt idx="118">
                  <c:v>7868</c:v>
                </c:pt>
                <c:pt idx="119">
                  <c:v>7726</c:v>
                </c:pt>
                <c:pt idx="120">
                  <c:v>7726</c:v>
                </c:pt>
                <c:pt idx="121">
                  <c:v>8004</c:v>
                </c:pt>
                <c:pt idx="122">
                  <c:v>8026</c:v>
                </c:pt>
                <c:pt idx="123">
                  <c:v>7827</c:v>
                </c:pt>
                <c:pt idx="124">
                  <c:v>7917</c:v>
                </c:pt>
                <c:pt idx="125">
                  <c:v>8092</c:v>
                </c:pt>
                <c:pt idx="126">
                  <c:v>8102</c:v>
                </c:pt>
                <c:pt idx="127">
                  <c:v>8111</c:v>
                </c:pt>
                <c:pt idx="128">
                  <c:v>7918</c:v>
                </c:pt>
                <c:pt idx="129">
                  <c:v>8053</c:v>
                </c:pt>
                <c:pt idx="130">
                  <c:v>7842</c:v>
                </c:pt>
                <c:pt idx="131">
                  <c:v>7655</c:v>
                </c:pt>
                <c:pt idx="132">
                  <c:v>7638</c:v>
                </c:pt>
                <c:pt idx="133">
                  <c:v>7392.1948000000011</c:v>
                </c:pt>
                <c:pt idx="134">
                  <c:v>7546.1088999999993</c:v>
                </c:pt>
                <c:pt idx="135">
                  <c:v>7545.8979000000008</c:v>
                </c:pt>
                <c:pt idx="136">
                  <c:v>7674.9698000000026</c:v>
                </c:pt>
                <c:pt idx="137">
                  <c:v>7605.0029000000013</c:v>
                </c:pt>
                <c:pt idx="138">
                  <c:v>7476.8239000000003</c:v>
                </c:pt>
                <c:pt idx="139">
                  <c:v>7638.4749999999985</c:v>
                </c:pt>
                <c:pt idx="140">
                  <c:v>7645.3568999999989</c:v>
                </c:pt>
                <c:pt idx="141">
                  <c:v>7711.9098999999987</c:v>
                </c:pt>
                <c:pt idx="142">
                  <c:v>7793.9929000000011</c:v>
                </c:pt>
                <c:pt idx="143">
                  <c:v>7708.0339000000004</c:v>
                </c:pt>
                <c:pt idx="144">
                  <c:v>7716.3130000000001</c:v>
                </c:pt>
                <c:pt idx="145">
                  <c:v>7872.74</c:v>
                </c:pt>
                <c:pt idx="146">
                  <c:v>7981.5729999999967</c:v>
                </c:pt>
                <c:pt idx="147">
                  <c:v>7879.0160000000005</c:v>
                </c:pt>
                <c:pt idx="148">
                  <c:v>7483.6110000000008</c:v>
                </c:pt>
                <c:pt idx="149">
                  <c:v>7467.2239999999993</c:v>
                </c:pt>
                <c:pt idx="150">
                  <c:v>7442.2339999999995</c:v>
                </c:pt>
                <c:pt idx="151">
                  <c:v>7349.1009999999987</c:v>
                </c:pt>
                <c:pt idx="152">
                  <c:v>7438.690999999998</c:v>
                </c:pt>
                <c:pt idx="153">
                  <c:v>7398.5009</c:v>
                </c:pt>
                <c:pt idx="154">
                  <c:v>7479.4568999999992</c:v>
                </c:pt>
                <c:pt idx="155">
                  <c:v>7452.0968000000003</c:v>
                </c:pt>
                <c:pt idx="156">
                  <c:v>7452.0968000000003</c:v>
                </c:pt>
                <c:pt idx="157">
                  <c:v>7637.4959999999983</c:v>
                </c:pt>
                <c:pt idx="158">
                  <c:v>7613.4320000000007</c:v>
                </c:pt>
                <c:pt idx="159">
                  <c:v>7676.4140000000007</c:v>
                </c:pt>
                <c:pt idx="160">
                  <c:v>7718.137999999999</c:v>
                </c:pt>
                <c:pt idx="161">
                  <c:v>7796.1529</c:v>
                </c:pt>
                <c:pt idx="162">
                  <c:v>7807.3199999999988</c:v>
                </c:pt>
                <c:pt idx="163">
                  <c:v>7583.1818999999987</c:v>
                </c:pt>
                <c:pt idx="164">
                  <c:v>7719.8359000000009</c:v>
                </c:pt>
                <c:pt idx="165">
                  <c:v>7882.7160000000003</c:v>
                </c:pt>
                <c:pt idx="166">
                  <c:v>8017.4409999999989</c:v>
                </c:pt>
                <c:pt idx="167">
                  <c:v>8050.9228999999996</c:v>
                </c:pt>
                <c:pt idx="168">
                  <c:v>8149.6420000000007</c:v>
                </c:pt>
                <c:pt idx="169">
                  <c:v>8216.3379999999997</c:v>
                </c:pt>
                <c:pt idx="170">
                  <c:v>8283.1660000000011</c:v>
                </c:pt>
                <c:pt idx="171">
                  <c:v>8173.098</c:v>
                </c:pt>
                <c:pt idx="172">
                  <c:v>7888.1849000000002</c:v>
                </c:pt>
                <c:pt idx="173">
                  <c:v>7956.2650000000012</c:v>
                </c:pt>
                <c:pt idx="174">
                  <c:v>8115.9380000000019</c:v>
                </c:pt>
                <c:pt idx="175">
                  <c:v>8167.232</c:v>
                </c:pt>
                <c:pt idx="176">
                  <c:v>8226.2209999999995</c:v>
                </c:pt>
                <c:pt idx="177">
                  <c:v>7994.1130000000003</c:v>
                </c:pt>
                <c:pt idx="178">
                  <c:v>8152.79</c:v>
                </c:pt>
                <c:pt idx="179">
                  <c:v>8091.3782000000001</c:v>
                </c:pt>
                <c:pt idx="180">
                  <c:v>8066.8142000000007</c:v>
                </c:pt>
                <c:pt idx="181">
                  <c:v>7919.3842000000022</c:v>
                </c:pt>
                <c:pt idx="182">
                  <c:v>7706.6512000000002</c:v>
                </c:pt>
                <c:pt idx="183">
                  <c:v>7706.6512000000002</c:v>
                </c:pt>
                <c:pt idx="184">
                  <c:v>7633.2860999999984</c:v>
                </c:pt>
                <c:pt idx="185">
                  <c:v>7901.4241999999995</c:v>
                </c:pt>
                <c:pt idx="186">
                  <c:v>7792.0181999999986</c:v>
                </c:pt>
                <c:pt idx="187">
                  <c:v>7753.9221999999991</c:v>
                </c:pt>
                <c:pt idx="188">
                  <c:v>7760.3340999999991</c:v>
                </c:pt>
                <c:pt idx="189">
                  <c:v>7565.6200999999992</c:v>
                </c:pt>
                <c:pt idx="190">
                  <c:v>7446.3931000000002</c:v>
                </c:pt>
                <c:pt idx="191">
                  <c:v>7463.5690999999988</c:v>
                </c:pt>
                <c:pt idx="192">
                  <c:v>7126.588999999999</c:v>
                </c:pt>
                <c:pt idx="193">
                  <c:v>7134.4689000000008</c:v>
                </c:pt>
                <c:pt idx="194">
                  <c:v>7134.4689000000008</c:v>
                </c:pt>
                <c:pt idx="195">
                  <c:v>7020.6519000000008</c:v>
                </c:pt>
                <c:pt idx="196">
                  <c:v>6864.8429000000006</c:v>
                </c:pt>
                <c:pt idx="197">
                  <c:v>6533.7609000000002</c:v>
                </c:pt>
                <c:pt idx="198">
                  <c:v>6366.2148999999999</c:v>
                </c:pt>
                <c:pt idx="199">
                  <c:v>6186.6158999999998</c:v>
                </c:pt>
                <c:pt idx="200">
                  <c:v>6122.1318999999994</c:v>
                </c:pt>
                <c:pt idx="201">
                  <c:v>6138.3698999999997</c:v>
                </c:pt>
                <c:pt idx="202">
                  <c:v>6349.8379000000014</c:v>
                </c:pt>
                <c:pt idx="203">
                  <c:v>6431.5619000000006</c:v>
                </c:pt>
                <c:pt idx="204">
                  <c:v>6314.4908999999998</c:v>
                </c:pt>
                <c:pt idx="205">
                  <c:v>6061.8358999999991</c:v>
                </c:pt>
                <c:pt idx="206">
                  <c:v>6213.0959000000012</c:v>
                </c:pt>
                <c:pt idx="207">
                  <c:v>6369.5458999999992</c:v>
                </c:pt>
                <c:pt idx="208">
                  <c:v>6370.9488999999994</c:v>
                </c:pt>
                <c:pt idx="209">
                  <c:v>6364.7808999999997</c:v>
                </c:pt>
                <c:pt idx="210">
                  <c:v>6286.9960000000001</c:v>
                </c:pt>
                <c:pt idx="211">
                  <c:v>6635.3000999999995</c:v>
                </c:pt>
                <c:pt idx="212">
                  <c:v>6804.6451000000006</c:v>
                </c:pt>
                <c:pt idx="213">
                  <c:v>6952.4061000000011</c:v>
                </c:pt>
                <c:pt idx="214">
                  <c:v>7058.4020999999993</c:v>
                </c:pt>
                <c:pt idx="215">
                  <c:v>6951.8199000000004</c:v>
                </c:pt>
                <c:pt idx="216">
                  <c:v>7068.6099000000004</c:v>
                </c:pt>
                <c:pt idx="217">
                  <c:v>6978.1608999999999</c:v>
                </c:pt>
                <c:pt idx="218">
                  <c:v>6850.9069</c:v>
                </c:pt>
                <c:pt idx="219">
                  <c:v>6819.4758999999995</c:v>
                </c:pt>
                <c:pt idx="220">
                  <c:v>6819.4758999999995</c:v>
                </c:pt>
                <c:pt idx="221">
                  <c:v>6680.1239999999998</c:v>
                </c:pt>
                <c:pt idx="222">
                  <c:v>6797.3128999999999</c:v>
                </c:pt>
                <c:pt idx="223">
                  <c:v>6878.9378999999999</c:v>
                </c:pt>
                <c:pt idx="224">
                  <c:v>7064.4098999999997</c:v>
                </c:pt>
                <c:pt idx="225">
                  <c:v>6877.2708999999995</c:v>
                </c:pt>
                <c:pt idx="226">
                  <c:v>7199.5879999999997</c:v>
                </c:pt>
                <c:pt idx="227">
                  <c:v>7227.1890000000003</c:v>
                </c:pt>
                <c:pt idx="228">
                  <c:v>7265.634</c:v>
                </c:pt>
                <c:pt idx="229">
                  <c:v>7170.424</c:v>
                </c:pt>
                <c:pt idx="230">
                  <c:v>7295.2959999999994</c:v>
                </c:pt>
                <c:pt idx="231">
                  <c:v>7336.6338999999998</c:v>
                </c:pt>
                <c:pt idx="232">
                  <c:v>7324.9549999999999</c:v>
                </c:pt>
                <c:pt idx="233">
                  <c:v>7203.1260000000002</c:v>
                </c:pt>
                <c:pt idx="234">
                  <c:v>6563.09</c:v>
                </c:pt>
                <c:pt idx="235">
                  <c:v>6539.0549999999985</c:v>
                </c:pt>
                <c:pt idx="236">
                  <c:v>6675.7279999999992</c:v>
                </c:pt>
                <c:pt idx="237">
                  <c:v>6821.4139999999998</c:v>
                </c:pt>
                <c:pt idx="238">
                  <c:v>6940.8360000000002</c:v>
                </c:pt>
                <c:pt idx="239">
                  <c:v>6386.4809999999998</c:v>
                </c:pt>
                <c:pt idx="240">
                  <c:v>6605.2569999999996</c:v>
                </c:pt>
                <c:pt idx="241">
                  <c:v>6552.3009999999995</c:v>
                </c:pt>
                <c:pt idx="242">
                  <c:v>6628.7860000000001</c:v>
                </c:pt>
                <c:pt idx="243">
                  <c:v>6212.3218999999999</c:v>
                </c:pt>
                <c:pt idx="244">
                  <c:v>6306.2799000000005</c:v>
                </c:pt>
                <c:pt idx="245">
                  <c:v>6193.1949999999997</c:v>
                </c:pt>
                <c:pt idx="246">
                  <c:v>6275.4968999999992</c:v>
                </c:pt>
                <c:pt idx="247">
                  <c:v>6377.6389000000008</c:v>
                </c:pt>
                <c:pt idx="248">
                  <c:v>6018.3329000000012</c:v>
                </c:pt>
                <c:pt idx="249">
                  <c:v>6155.6408999999994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EF-4D8D-AA29-3E9316D09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83138864"/>
        <c:axId val="-783148656"/>
      </c:lineChart>
      <c:catAx>
        <c:axId val="-783138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83148656"/>
        <c:crosses val="autoZero"/>
        <c:auto val="1"/>
        <c:lblAlgn val="ctr"/>
        <c:lblOffset val="100"/>
        <c:noMultiLvlLbl val="0"/>
      </c:catAx>
      <c:valAx>
        <c:axId val="-783148656"/>
        <c:scaling>
          <c:orientation val="minMax"/>
          <c:min val="5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8313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plant).xlsx]SheetPannal1!PivotTable1</c:name>
    <c:fmtId val="226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DC Occupancy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9487743405660775E-3"/>
              <c:y val="2.3468651979109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468651979109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49655025171584"/>
          <c:y val="0.16697959642152038"/>
          <c:w val="0.70456301449791403"/>
          <c:h val="0.615910488509303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SheetPannal1!$C$3</c:f>
              <c:strCache>
                <c:ptCount val="1"/>
                <c:pt idx="0">
                  <c:v>Capacity 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SheetPannal1!$A$4:$B$6</c:f>
              <c:multiLvlStrCache>
                <c:ptCount val="2"/>
                <c:lvl>
                  <c:pt idx="0">
                    <c:v>91%</c:v>
                  </c:pt>
                  <c:pt idx="1">
                    <c:v>57%</c:v>
                  </c:pt>
                </c:lvl>
                <c:lvl>
                  <c:pt idx="0">
                    <c:v>Main DC</c:v>
                  </c:pt>
                  <c:pt idx="1">
                    <c:v>BIPL</c:v>
                  </c:pt>
                </c:lvl>
              </c:multiLvlStrCache>
            </c:multiLvlStrRef>
          </c:cat>
          <c:val>
            <c:numRef>
              <c:f>SheetPannal1!$C$4:$C$6</c:f>
              <c:numCache>
                <c:formatCode>General</c:formatCode>
                <c:ptCount val="2"/>
                <c:pt idx="0">
                  <c:v>10131</c:v>
                </c:pt>
                <c:pt idx="1">
                  <c:v>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9-49A4-9845-AFD97343D4F2}"/>
            </c:ext>
          </c:extLst>
        </c:ser>
        <c:ser>
          <c:idx val="1"/>
          <c:order val="1"/>
          <c:tx>
            <c:strRef>
              <c:f>SheetPannal1!$D$3</c:f>
              <c:strCache>
                <c:ptCount val="1"/>
                <c:pt idx="0">
                  <c:v>Occupancy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SheetPannal1!$A$4:$B$6</c:f>
              <c:multiLvlStrCache>
                <c:ptCount val="2"/>
                <c:lvl>
                  <c:pt idx="0">
                    <c:v>91%</c:v>
                  </c:pt>
                  <c:pt idx="1">
                    <c:v>57%</c:v>
                  </c:pt>
                </c:lvl>
                <c:lvl>
                  <c:pt idx="0">
                    <c:v>Main DC</c:v>
                  </c:pt>
                  <c:pt idx="1">
                    <c:v>BIPL</c:v>
                  </c:pt>
                </c:lvl>
              </c:multiLvlStrCache>
            </c:multiLvlStrRef>
          </c:cat>
          <c:val>
            <c:numRef>
              <c:f>SheetPannal1!$D$4:$D$6</c:f>
              <c:numCache>
                <c:formatCode>General</c:formatCode>
                <c:ptCount val="2"/>
                <c:pt idx="0">
                  <c:v>9169</c:v>
                </c:pt>
                <c:pt idx="1">
                  <c:v>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49-49A4-9845-AFD97343D4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644856880"/>
        <c:axId val="-1643828000"/>
      </c:barChart>
      <c:catAx>
        <c:axId val="-1644856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28000"/>
        <c:crosses val="autoZero"/>
        <c:auto val="1"/>
        <c:lblAlgn val="ctr"/>
        <c:lblOffset val="100"/>
        <c:noMultiLvlLbl val="0"/>
      </c:catAx>
      <c:valAx>
        <c:axId val="-16438280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 of pallets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87751531058619"/>
          <c:y val="0.90314269926785484"/>
          <c:w val="0.26907330633808108"/>
          <c:h val="8.2498807637127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cap="none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cap="none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Opportunity Cost For the Day</a:t>
            </a:r>
          </a:p>
        </c:rich>
      </c:tx>
      <c:layout>
        <c:manualLayout>
          <c:xMode val="edge"/>
          <c:yMode val="edge"/>
          <c:x val="0.34640821419849965"/>
          <c:y val="1.84614943292204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cap="none" spc="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534457625623187"/>
          <c:y val="0.11889982523683489"/>
          <c:w val="0.79247165828713717"/>
          <c:h val="0.459388770017922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'All WH'!$AIP$57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97-4401-81B1-C6E22D69C5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('All WH'!$AII$61,'All WH'!$AII$64,'All WH'!$AII$58,'All WH'!$AII$60,'All WH'!$AII$59)</c:f>
              <c:strCache>
                <c:ptCount val="5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Peliyagoda DC</c:v>
                </c:pt>
                <c:pt idx="4">
                  <c:v>Orugodawatta DC Cold Room </c:v>
                </c:pt>
              </c:strCache>
            </c:strRef>
          </c:cat>
          <c:val>
            <c:numRef>
              <c:f>('All WH'!$AIP$61,'All WH'!$AIP$64,'All WH'!$AIP$58,'All WH'!$AIP$60,'All WH'!$AIP$59)</c:f>
              <c:numCache>
                <c:formatCode>#,##0</c:formatCode>
                <c:ptCount val="5"/>
                <c:pt idx="0">
                  <c:v>1237195.135652459</c:v>
                </c:pt>
                <c:pt idx="1">
                  <c:v>0</c:v>
                </c:pt>
                <c:pt idx="2">
                  <c:v>453919.42379947525</c:v>
                </c:pt>
                <c:pt idx="3">
                  <c:v>309405.0123672132</c:v>
                </c:pt>
                <c:pt idx="4">
                  <c:v>5797.9360405246034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97-4401-81B1-C6E22D69C508}"/>
            </c:ext>
          </c:extLst>
        </c:ser>
        <c:ser>
          <c:idx val="1"/>
          <c:order val="1"/>
          <c:tx>
            <c:strRef>
              <c:f>'All WH'!$AIQ$57</c:f>
              <c:strCache>
                <c:ptCount val="1"/>
                <c:pt idx="0">
                  <c:v>Net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122052051199496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897-4401-81B1-C6E22D69C508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897-4401-81B1-C6E22D69C5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('All WH'!$AII$61,'All WH'!$AII$64,'All WH'!$AII$58,'All WH'!$AII$60,'All WH'!$AII$59)</c:f>
              <c:strCache>
                <c:ptCount val="5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Peliyagoda DC</c:v>
                </c:pt>
                <c:pt idx="4">
                  <c:v>Orugodawatta DC Cold Room </c:v>
                </c:pt>
              </c:strCache>
            </c:strRef>
          </c:cat>
          <c:val>
            <c:numRef>
              <c:f>('All WH'!$AIQ$61,'All WH'!$AIQ$64,'All WH'!$AIQ$58,'All WH'!$AIQ$60,'All WH'!$AIQ$59)</c:f>
              <c:numCache>
                <c:formatCode>#,##0</c:formatCode>
                <c:ptCount val="5"/>
                <c:pt idx="0">
                  <c:v>279832.70431475411</c:v>
                </c:pt>
                <c:pt idx="1">
                  <c:v>0</c:v>
                </c:pt>
                <c:pt idx="2">
                  <c:v>82855.840029150801</c:v>
                </c:pt>
                <c:pt idx="3">
                  <c:v>76978.775147541004</c:v>
                </c:pt>
                <c:pt idx="4">
                  <c:v>1058.3218868491829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97-4401-81B1-C6E22D69C50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1643834528"/>
        <c:axId val="-1643822016"/>
      </c:barChart>
      <c:catAx>
        <c:axId val="-164383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layout>
            <c:manualLayout>
              <c:xMode val="edge"/>
              <c:yMode val="edge"/>
              <c:x val="0.48025928189329115"/>
              <c:y val="0.7108650457758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22016"/>
        <c:crosses val="autoZero"/>
        <c:auto val="1"/>
        <c:lblAlgn val="ctr"/>
        <c:lblOffset val="100"/>
        <c:noMultiLvlLbl val="0"/>
      </c:catAx>
      <c:valAx>
        <c:axId val="-1643822016"/>
        <c:scaling>
          <c:orientation val="minMax"/>
          <c:max val="10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LKR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34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45513356147751"/>
          <c:y val="0.82666331877623533"/>
          <c:w val="0.25089721420550826"/>
          <c:h val="6.719052835330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plant).xlsx]Utilization!PivotTable1</c:name>
    <c:fmtId val="226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DC Occupancy  </a:t>
            </a:r>
          </a:p>
        </c:rich>
      </c:tx>
      <c:layout>
        <c:manualLayout>
          <c:xMode val="edge"/>
          <c:yMode val="edge"/>
          <c:x val="0.40218388030394175"/>
          <c:y val="3.06222809999839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88323917137476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5031890707865561E-3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5856873822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094728423926364E-2"/>
              <c:y val="8.311443563339895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6617926932756097E-2"/>
                  <c:h val="6.1134814295262879E-2"/>
                </c:manualLayout>
              </c15:layout>
            </c:ext>
          </c:extLst>
        </c:dLbl>
      </c:pivotFmt>
      <c:pivotFmt>
        <c:idx val="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624E-3"/>
              <c:y val="2.354048964218451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824858757062146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2.824858757062144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189018324187211E-2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4.708097928436911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2704946011568055E-3"/>
              <c:y val="1.88323917137476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6352473005783529E-3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1.88323917137476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412429378531064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472E-2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7928436911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290643344039424E-2"/>
              <c:y val="8.3299937979173903E-4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2998918205750262E-2"/>
              <c:y val="1.88323847322742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66757152943E-3"/>
              <c:y val="9.416195856873909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176236502890765E-3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17623650289143E-3"/>
              <c:y val="1.88323917137476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6352473005783529E-3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0146723617842588E-17"/>
              <c:y val="2.824858757062146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937853106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1134100135730538E-3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378033378576099E-3"/>
              <c:y val="1.883239171374773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2.824702729693371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372636373143073E-3"/>
              <c:y val="4.70783788282228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4527274628913E-3"/>
              <c:y val="9.415675765644572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207E-3"/>
              <c:y val="4.70783788282228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2.353918941411140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567576564452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layout>
            <c:manualLayout>
              <c:x val="1.3912075681691666E-2"/>
              <c:y val="9.4156757656445496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layout>
            <c:manualLayout>
              <c:x val="4.6373585605638179E-3"/>
              <c:y val="1.41235136484668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15E-2"/>
              <c:y val="9.415675765644572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23E-2"/>
              <c:y val="-4.707837882822371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layout>
            <c:manualLayout>
              <c:x val="1.0186319820605272E-2"/>
              <c:y val="9.415675765644593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13515312891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567576564452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179E-3"/>
              <c:y val="9.41567576564452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layout>
            <c:manualLayout>
              <c:x val="9.6133921365100794E-3"/>
              <c:y val="1.875783961382486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3.6369759604480295E-3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917137476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5856873822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1512146593498286E-3"/>
              <c:y val="1.412429378531064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4399902774738386E-3"/>
              <c:y val="1.5373608960756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4399902774739167E-3"/>
              <c:y val="2.56226816012602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2.1466634258246651E-3"/>
              <c:y val="1.02490726405040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785759979396858E-2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931561880903514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3726247523613896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781714055359065E-2"/>
              <c:y val="-8.63140995817466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4851272400784E-3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9928665010362E-2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4.6373585605639029E-3"/>
              <c:y val="-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378036648374571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1512146593498286E-3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861863677724757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2646256538622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1512146593498286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540989202313677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23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604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226820027146108E-2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54542201423486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1134109945123714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264623365003792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2646256538622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layout>
            <c:manualLayout>
              <c:x val="0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179E-3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624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069500494408064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4321419338441606E-3"/>
              <c:y val="2.82485770984114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1134109945123714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18901832418728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1134109945122968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189018324187286E-2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706859054971966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069500494408149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750821214126112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826402125443793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574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207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37772425454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1584121684288631E-2"/>
                  <c:h val="6.5842910478331435E-2"/>
                </c:manualLayout>
              </c15:layout>
            </c:ext>
          </c:extLst>
        </c:dLbl>
      </c:pivotFmt>
      <c:pivotFmt>
        <c:idx val="1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354048091534284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604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1.412428854920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4.708096183068616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624E-3"/>
              <c:y val="4.7080961830684876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-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4.708096183068552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744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8.63140995817466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842E-2"/>
              <c:y val="4.708096183068616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179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-8.63140995817466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88144426361E-3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94072213181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91108318921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851805329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7628885272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4.708096183068552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1.412428854920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624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412428854920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8664E-3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9389E-3"/>
              <c:y val="4.708096183068616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9.416192366137190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-8.63140995817466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88144424661E-3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91108319771E-3"/>
              <c:y val="9.416192366137190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91108319771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7036106589E-2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2.35404809153427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1.412428854920563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65708601956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1998673788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3141720391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54278135079E-3"/>
              <c:y val="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505472083101294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-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3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91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1998673788E-2"/>
              <c:y val="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65708601956E-3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-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0855627186E-2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3141720306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0971258058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2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09712580584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3141720306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91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0855627186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3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907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085562718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06E-2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91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085562718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236613712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562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1998673746E-2"/>
              <c:y val="9.41619236613712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91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8856953398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3141720306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4.708281541185974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1584121684288631E-2"/>
                  <c:h val="6.5842910478331435E-2"/>
                </c:manualLayout>
              </c15:layout>
            </c:ext>
          </c:extLst>
        </c:dLbl>
      </c:pivotFmt>
      <c:pivotFmt>
        <c:idx val="2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7528864521063877E-4"/>
              <c:y val="-5.64971541968228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56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7240568787900485E-3"/>
              <c:y val="1.88323847322742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905071098487481E-2"/>
              <c:y val="1.883238473227433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617217063636998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3620291885011417E-3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3620291885011417E-3"/>
              <c:y val="2.82485770984114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3521E-3"/>
              <c:y val="2.354048091534291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91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91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3521E-3"/>
              <c:y val="2.824857709841148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7328148001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732814800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2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7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3.295667328148001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611306747034E-17"/>
              <c:y val="2.35404809153427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5942505309E-3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611306747034E-17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2.644983815961883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5121E-3"/>
              <c:y val="3.085814451955535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5121E-3"/>
              <c:y val="2.20415317996823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498381596188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2.64498381596188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3322543974591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2.64498381596188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3521E-3"/>
              <c:y val="2.204153179968239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8.832837848223329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29981571713981E-3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503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7003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279205894922235E-2"/>
              <c:y val="4.416418924111664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0558411789844467E-3"/>
              <c:y val="3.533135139289327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7561638036220888E-2"/>
              <c:y val="1.755007134175337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3.09149324687816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4467E-3"/>
              <c:y val="8.832837848223329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4467E-3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3713E-3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881431741806069E-2"/>
              <c:y val="1.34784519367066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3713E-3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0558411789844467E-3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6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4467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09149324687816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3268790057802232E-16"/>
              <c:y val="3.09149324687816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3268790057802232E-16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3268790057802232E-16"/>
              <c:y val="2.649851354466994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3.53313513928932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3268790057802232E-16"/>
              <c:y val="3.533135139289327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09149324687816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7003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3.533135139289327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9363971307672333E-17"/>
              <c:y val="1.705372696110306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9363971307672333E-17"/>
              <c:y val="1.7053726961102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558059044165460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05372696110302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9363971307672333E-17"/>
              <c:y val="8.526863480551533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3.6188027290901589E-3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8094013645450794E-3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6188027290901589E-3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0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131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463E-3"/>
              <c:y val="2.6498513544669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44E-2"/>
              <c:y val="3.091495856472303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8.832837848223329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8.83283784822328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463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-8.0966744940633811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4.416418924111664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8094013645450794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3.533135139289331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3.09149324687816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131E-3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3.09149324687816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3.09149324687816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1236274161516191E-8"/>
              <c:y val="8.8328378482233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5.6308570464642861E-2"/>
                  <c:h val="5.7347373604350764E-2"/>
                </c:manualLayout>
              </c15:layout>
            </c:ext>
          </c:extLst>
        </c:dLbl>
      </c:pivotFmt>
      <c:pivotFmt>
        <c:idx val="4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8.8328378482232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131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3.09149324687816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1.324925677233497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850960821004678E-2"/>
              <c:y val="2.14063295241361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-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-4.4164189241116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6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463E-3"/>
              <c:y val="2.6498513544669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8094013645450794E-3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131E-3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7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7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09149324687816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3.09149324687816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69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9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4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0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5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0740740740740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7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5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18518518518519E-3"/>
              <c:y val="2.777777777777777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0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18518518517841E-3"/>
              <c:y val="2.777777777777777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7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0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8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8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18518518518519E-3"/>
              <c:y val="1.85185185185185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8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58628470423159E-2"/>
              <c:y val="1.0253423684311403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1095196009649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3567533274413509E-2"/>
              <c:y val="-8.202738947449122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7443971352817368E-2"/>
              <c:y val="-1.34228187919463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1095196009649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199028059293267E-2"/>
              <c:y val="4.451158177338347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0709419033431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6064128550140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6870741654252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60644835747642E-2"/>
              <c:y val="8.902316354676694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07096557165095E-2"/>
              <c:y val="-8.1603623892509656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68709487519459E-2"/>
              <c:y val="4.4511581773383066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0709655716509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07096557165095E-2"/>
              <c:y val="-4.451158177338347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6870948751945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68709487519459E-2"/>
              <c:y val="-4.451158177338347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68709487519494E-2"/>
              <c:y val="-2.040090597312741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45483626810733E-2"/>
              <c:y val="-8.1603623892509656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07096557165095E-2"/>
              <c:y val="1.335347453201504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0709655716495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68709487519494E-2"/>
              <c:y val="1.335347453201504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45483626810802E-2"/>
              <c:y val="2.670694906403008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22257766101936E-2"/>
              <c:y val="8.902316354676694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86E-2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4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858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7648582739E-2"/>
              <c:y val="-2.017272123771684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44555231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59431262463521E-2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2084164220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96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858E-2"/>
              <c:y val="8.80274368351155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929E-2"/>
              <c:y val="1.320411552526734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71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1616746072E-2"/>
              <c:y val="8.80274368351155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858E-2"/>
              <c:y val="1.76054873670231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78E-2"/>
              <c:y val="-2.017272123771684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96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44E-2"/>
              <c:y val="8.802743683511480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15E-2"/>
              <c:y val="1.320411552526734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96825530662866E-3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5942859551957E-2"/>
              <c:y val="-2.017272123771684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96825530663577E-3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9.6996825530665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55194920849063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8198095318397862E-3"/>
              <c:y val="4.034544247543369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86E-2"/>
              <c:y val="-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161674610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9682553066357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7459428595519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929E-2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597460424531431E-3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2978920680425718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7648582739E-2"/>
              <c:y val="2.20068592087789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597472277615648E-3"/>
              <c:y val="1.32041155252672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858E-2"/>
              <c:y val="8.80274368351155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8069403913E-2"/>
              <c:y val="8.80274368351155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491885719103914E-2"/>
              <c:y val="-4.034544247543369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858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5942859551957E-2"/>
              <c:y val="-2.017272123771684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858E-2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8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15E-2"/>
              <c:y val="1.320411552526734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38666722878999E-2"/>
              <c:y val="4.034544247543369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59428595519428E-2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dLbl>
          <c:idx val="0"/>
          <c:layout>
            <c:manualLayout>
              <c:x val="1.7459431262463486E-2"/>
              <c:y val="-2.0172721237716847E-17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9099052104105728E-2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79241683284765E-2"/>
              <c:y val="4.034544247543369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487634430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487634430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1616746142E-2"/>
              <c:y val="1.76054873670231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858E-2"/>
              <c:y val="-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1616746072E-2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858E-2"/>
              <c:y val="-8.80274368351155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71591111485859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8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4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161674607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96825530662866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79238127359287E-2"/>
              <c:y val="-4.034544247543369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dLbl>
          <c:idx val="0"/>
          <c:layout>
            <c:manualLayout>
              <c:x val="3.1038988911046117E-2"/>
              <c:y val="-4.034544247543369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dLbl>
          <c:idx val="0"/>
          <c:layout>
            <c:manualLayout>
              <c:x val="1.7459431262463521E-2"/>
              <c:y val="-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dLbl>
          <c:idx val="0"/>
          <c:layout>
            <c:manualLayout>
              <c:x val="2.133930487634430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dLbl>
          <c:idx val="0"/>
          <c:layout>
            <c:manualLayout>
              <c:x val="1.9399368069403913E-2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dLbl>
          <c:idx val="0"/>
          <c:layout>
            <c:manualLayout>
              <c:x val="2.1339304876344303E-2"/>
              <c:y val="-2.017272123771684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78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59428595519501E-2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1616746142E-2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71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3E-2"/>
              <c:y val="8.80274368351155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4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15E-2"/>
              <c:y val="8.802743683511480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858E-2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71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96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96825530664289E-3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3225745446337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69174949403749E-2"/>
              <c:y val="-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69174949403749E-2"/>
              <c:y val="1.30932919388277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58422464582482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179927434224876E-2"/>
              <c:y val="-4.36443064627599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39E-2"/>
              <c:y val="4.36443064627593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647175618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85096426660372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1734477948476143E-3"/>
              <c:y val="-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850964266603797E-2"/>
              <c:y val="4.364430646275915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0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67E-2"/>
              <c:y val="-2.0003409381005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2233157806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3645310933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3387571756937473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39E-2"/>
              <c:y val="-1.30932919388278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68565382557331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850964266603727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0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13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136E-2"/>
              <c:y val="-8.728861292551929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27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647175618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273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57635406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1527081108E-2"/>
              <c:y val="-4.36443064627599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0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5057464058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685650114928116E-2"/>
              <c:y val="1.30932919388278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435138749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02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4859096584545168E-2"/>
              <c:y val="4.0006818762011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273E-2"/>
              <c:y val="1.30932919388278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05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273E-2"/>
              <c:y val="8.728861292551830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dLbl>
          <c:idx val="0"/>
          <c:layout>
            <c:manualLayout>
              <c:x val="1.8346895589695229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dLbl>
          <c:idx val="0"/>
          <c:layout>
            <c:manualLayout>
              <c:x val="1.8346895589695159E-2"/>
              <c:y val="1.30932919388278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dLbl>
          <c:idx val="0"/>
          <c:layout>
            <c:manualLayout>
              <c:x val="2.018158514866474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1527081108E-2"/>
              <c:y val="4.364430646275915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152708124E-2"/>
              <c:y val="-4.0006818762011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02E-2"/>
              <c:y val="1.30932919388278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3645310863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514866474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558969522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0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05E-2"/>
              <c:y val="4.364430646275915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691278665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069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6912786659E-2"/>
              <c:y val="1.74577225851038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0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647175618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5589695159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5589695229E-2"/>
              <c:y val="4.364430646275874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9355032943512396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691278665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dLbl>
          <c:idx val="0"/>
          <c:layout>
            <c:manualLayout>
              <c:x val="2.3850960821004678E-2"/>
              <c:y val="1.7457722585103801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dLbl>
          <c:idx val="0"/>
          <c:layout>
            <c:manualLayout>
              <c:x val="1.6512203645310933E-2"/>
              <c:y val="4.3644306462759554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dLbl>
          <c:idx val="0"/>
          <c:layout>
            <c:manualLayout>
              <c:x val="1.8346892939234232E-2"/>
              <c:y val="4.3644306462759554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dLbl>
          <c:idx val="0"/>
          <c:layout>
            <c:manualLayout>
              <c:x val="1.2842825057464058E-2"/>
              <c:y val="-4.3644306462759554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138E-2"/>
              <c:y val="1.30932919388278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6912786659E-2"/>
              <c:y val="1.745772258510374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39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13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13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39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6912786659E-2"/>
              <c:y val="4.364430646275915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138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273E-2"/>
              <c:y val="1.30932919388277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2233157806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5057464058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435138742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5057464058E-2"/>
              <c:y val="4.364430646275874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dLbl>
          <c:idx val="0"/>
          <c:layout>
            <c:manualLayout>
              <c:x val="1.100813576354062E-2"/>
              <c:y val="-8.7288612925519905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1527081108E-2"/>
              <c:y val="-4.0006818762011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02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223315773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3645310964E-2"/>
              <c:y val="8.72886129255188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136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691278665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647175611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5148664749E-2"/>
              <c:y val="-4.364430646276035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273E-2"/>
              <c:y val="4.36443064627593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2233157806E-2"/>
              <c:y val="-2.0003409381005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02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4351387495E-2"/>
              <c:y val="-4.364430646276035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2233157806E-2"/>
              <c:y val="-4.0006818762011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136E-2"/>
              <c:y val="8.728861292551830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39E-2"/>
              <c:y val="-2.0003409381005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5148664749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6471756183E-2"/>
              <c:y val="-4.364430646276035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439364192848315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1312139761610738E-3"/>
              <c:y val="-4.364430646276035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1312139761610738E-3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82629861169828E-2"/>
              <c:y val="-4.36443064627597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14295859381601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8413149305849409E-3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7619723958774123E-3"/>
              <c:y val="-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8667697516581776E-3"/>
              <c:y val="-4.445251823515802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25181916408730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126637247678574E-2"/>
              <c:y val="-4.074767099498904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377001080496035E-2"/>
              <c:y val="8.8905036470316046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8762734148609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00145533126984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001455331269844E-2"/>
              <c:y val="8.8905036470316046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751091498452305E-2"/>
              <c:y val="4.445251823515802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126637247678418E-2"/>
              <c:y val="-8.89050364703168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37700108049587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051895160383478E-2"/>
              <c:y val="9.395742766757714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57784274057521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183382055431415E-2"/>
              <c:y val="9.395742766757714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788921370287453E-2"/>
              <c:y val="-8.612664708623576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051898022265147E-2"/>
              <c:y val="4.69787138337877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920410769481847E-2"/>
              <c:y val="4.697871383378857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05189802226514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378436814293881E-2"/>
              <c:y val="-4.59633335649597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253124376630801E-2"/>
              <c:y val="9.192666712991915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002499501304641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7629061689620042E-2"/>
              <c:y val="-4.213256904884665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378440726615993E-2"/>
              <c:y val="-2.106628452442332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37844072661599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378440726615993E-2"/>
              <c:y val="-4.213256904884665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87718955330101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724475480380244E-2"/>
              <c:y val="-4.34196198560998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69692302841823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8346852882281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724475480380282E-2"/>
              <c:y val="8.683923971219972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669370576456301E-2"/>
              <c:y val="1.9900429209256041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779580384304225E-2"/>
              <c:y val="4.341961985609906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696923028418164E-2"/>
              <c:y val="8.683923971219932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80713283626619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8071328362661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779580384304225E-2"/>
              <c:y val="1.30258859568299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8346852882281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25160005719330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5.2518977175299075E-2"/>
                  <c:h val="6.0109486376741281E-2"/>
                </c:manualLayout>
              </c15:layout>
            </c:ext>
          </c:extLst>
        </c:dLbl>
      </c:pivotFmt>
      <c:pivotFmt>
        <c:idx val="7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116055853372947E-2"/>
              <c:y val="4.010178907658768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744038130897673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802066729071145E-2"/>
              <c:y val="-7.351909734152597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59254254025851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645423991834749E-2"/>
              <c:y val="1.179771105826397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242868700308519E-2"/>
              <c:y val="4.555661575326250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6723591743784102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4539319572974085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235502769703889E-2"/>
              <c:y val="8.896750409373030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235502769703854E-2"/>
              <c:y val="1.334512561405968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344716659746191E-2"/>
              <c:y val="4.448375204686474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34471834875689E-2"/>
              <c:y val="8.896750409373111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41884210381181E-2"/>
              <c:y val="2.0921924733924823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4539319572974085E-3"/>
              <c:y val="-8.155260331662086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9592985288459133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969473896634407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41884210381181E-2"/>
              <c:y val="2.0921924733924823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9592985288459133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969473896634407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4539319572974085E-3"/>
              <c:y val="-8.155260331662086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938947793268815E-2"/>
              <c:y val="1.825934524432118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9491231610573452E-3"/>
              <c:y val="4.56483631108021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37498869917309E-2"/>
              <c:y val="-2.2267241705670936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0781151117760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3749886991734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dLbl>
          <c:idx val="0"/>
          <c:layout>
            <c:manualLayout>
              <c:x val="9.6484367936983048E-3"/>
              <c:y val="0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dLbl>
          <c:idx val="0"/>
          <c:layout>
            <c:manualLayout>
              <c:x val="1.1578124152437938E-2"/>
              <c:y val="0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dLbl>
          <c:idx val="0"/>
          <c:layout>
            <c:manualLayout>
              <c:x val="1.3507811511177605E-2"/>
              <c:y val="0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3.6188027290901589E-3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881431741806069E-2"/>
              <c:y val="1.34784519367066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3.6188027290901589E-3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881431741806069E-2"/>
              <c:y val="1.34784519367066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3.6188027290901589E-3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881431741806069E-2"/>
              <c:y val="1.34784519367066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3.6188027290901589E-3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881431741806069E-2"/>
              <c:y val="1.34784519367066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3.6188027290901589E-3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881431741806069E-2"/>
              <c:y val="1.34784519367066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3.6188027290901589E-3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881431741806069E-2"/>
              <c:y val="1.34784519367066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516003599062528"/>
          <c:y val="0.10298497005168897"/>
          <c:w val="0.77454809334084651"/>
          <c:h val="0.576810840269520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Utilization!$B$1</c:f>
              <c:strCache>
                <c:ptCount val="1"/>
                <c:pt idx="0">
                  <c:v>Capacity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5461-4DB8-ACBC-8F1B1D727DA8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5461-4DB8-ACBC-8F1B1D727DA8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5461-4DB8-ACBC-8F1B1D727DA8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5461-4DB8-ACBC-8F1B1D727DA8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5461-4DB8-ACBC-8F1B1D727DA8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5461-4DB8-ACBC-8F1B1D727DA8}"/>
              </c:ext>
            </c:extLst>
          </c:dPt>
          <c:dLbls>
            <c:dLbl>
              <c:idx val="2"/>
              <c:layout>
                <c:manualLayout>
                  <c:x val="-3.6188027290901589E-3"/>
                  <c:y val="2.64985135446699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461-4DB8-ACBC-8F1B1D727DA8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Utilization!$A$2:$A$14</c:f>
              <c:multiLvlStrCache>
                <c:ptCount val="6"/>
                <c:lvl>
                  <c:pt idx="0">
                    <c:v>42%</c:v>
                  </c:pt>
                  <c:pt idx="1">
                    <c:v>72%</c:v>
                  </c:pt>
                  <c:pt idx="2">
                    <c:v>100%</c:v>
                  </c:pt>
                  <c:pt idx="3">
                    <c:v>47%</c:v>
                  </c:pt>
                  <c:pt idx="4">
                    <c:v>36%</c:v>
                  </c:pt>
                  <c:pt idx="5">
                    <c:v>60%</c:v>
                  </c:pt>
                </c:lvl>
                <c:lvl>
                  <c:pt idx="0">
                    <c:v>Expo Global Freeport </c:v>
                  </c:pt>
                  <c:pt idx="1">
                    <c:v>Hirdaramani Woven Client Warehouse </c:v>
                  </c:pt>
                  <c:pt idx="2">
                    <c:v>Kandana DC</c:v>
                  </c:pt>
                  <c:pt idx="3">
                    <c:v>Orugodawatta DC</c:v>
                  </c:pt>
                  <c:pt idx="4">
                    <c:v>Orugodawatta DC Cold Room </c:v>
                  </c:pt>
                  <c:pt idx="5">
                    <c:v>Peliyagoda DC</c:v>
                  </c:pt>
                </c:lvl>
              </c:multiLvlStrCache>
            </c:multiLvlStrRef>
          </c:cat>
          <c:val>
            <c:numRef>
              <c:f>Utilization!$B$2:$B$14</c:f>
              <c:numCache>
                <c:formatCode>General</c:formatCode>
                <c:ptCount val="6"/>
                <c:pt idx="0">
                  <c:v>21000</c:v>
                </c:pt>
                <c:pt idx="1">
                  <c:v>4300</c:v>
                </c:pt>
                <c:pt idx="2">
                  <c:v>7500</c:v>
                </c:pt>
                <c:pt idx="3">
                  <c:v>10300</c:v>
                </c:pt>
                <c:pt idx="4">
                  <c:v>100</c:v>
                </c:pt>
                <c:pt idx="5">
                  <c:v>10250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61-4DB8-ACBC-8F1B1D727DA8}"/>
            </c:ext>
          </c:extLst>
        </c:ser>
        <c:ser>
          <c:idx val="1"/>
          <c:order val="1"/>
          <c:tx>
            <c:strRef>
              <c:f>Utilization!$C$1</c:f>
              <c:strCache>
                <c:ptCount val="1"/>
                <c:pt idx="0">
                  <c:v>Occupancy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5461-4DB8-ACBC-8F1B1D727DA8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5461-4DB8-ACBC-8F1B1D727DA8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5461-4DB8-ACBC-8F1B1D727DA8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5461-4DB8-ACBC-8F1B1D727DA8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5461-4DB8-ACBC-8F1B1D727DA8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5461-4DB8-ACBC-8F1B1D727DA8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5461-4DB8-ACBC-8F1B1D727DA8}"/>
              </c:ext>
            </c:extLst>
          </c:dPt>
          <c:dLbls>
            <c:dLbl>
              <c:idx val="2"/>
              <c:layout>
                <c:manualLayout>
                  <c:x val="2.2881431741806069E-2"/>
                  <c:y val="1.34784519367066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461-4DB8-ACBC-8F1B1D727DA8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Utilization!$A$2:$A$14</c:f>
              <c:multiLvlStrCache>
                <c:ptCount val="6"/>
                <c:lvl>
                  <c:pt idx="0">
                    <c:v>42%</c:v>
                  </c:pt>
                  <c:pt idx="1">
                    <c:v>72%</c:v>
                  </c:pt>
                  <c:pt idx="2">
                    <c:v>100%</c:v>
                  </c:pt>
                  <c:pt idx="3">
                    <c:v>47%</c:v>
                  </c:pt>
                  <c:pt idx="4">
                    <c:v>36%</c:v>
                  </c:pt>
                  <c:pt idx="5">
                    <c:v>60%</c:v>
                  </c:pt>
                </c:lvl>
                <c:lvl>
                  <c:pt idx="0">
                    <c:v>Expo Global Freeport </c:v>
                  </c:pt>
                  <c:pt idx="1">
                    <c:v>Hirdaramani Woven Client Warehouse </c:v>
                  </c:pt>
                  <c:pt idx="2">
                    <c:v>Kandana DC</c:v>
                  </c:pt>
                  <c:pt idx="3">
                    <c:v>Orugodawatta DC</c:v>
                  </c:pt>
                  <c:pt idx="4">
                    <c:v>Orugodawatta DC Cold Room </c:v>
                  </c:pt>
                  <c:pt idx="5">
                    <c:v>Peliyagoda DC</c:v>
                  </c:pt>
                </c:lvl>
              </c:multiLvlStrCache>
            </c:multiLvlStrRef>
          </c:cat>
          <c:val>
            <c:numRef>
              <c:f>Utilization!$C$2:$C$14</c:f>
              <c:numCache>
                <c:formatCode>General</c:formatCode>
                <c:ptCount val="6"/>
                <c:pt idx="0">
                  <c:v>8773.6718999999994</c:v>
                </c:pt>
                <c:pt idx="1">
                  <c:v>3114.8409999999999</c:v>
                </c:pt>
                <c:pt idx="2">
                  <c:v>7676.0394999999999</c:v>
                </c:pt>
                <c:pt idx="3">
                  <c:v>4837.7183473000014</c:v>
                </c:pt>
                <c:pt idx="4">
                  <c:v>36.439366699999859</c:v>
                </c:pt>
                <c:pt idx="5">
                  <c:v>6155.6408999999994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461-4DB8-ACBC-8F1B1D727DA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1644853616"/>
        <c:axId val="-1644859056"/>
      </c:barChart>
      <c:catAx>
        <c:axId val="-1644853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layout>
            <c:manualLayout>
              <c:xMode val="edge"/>
              <c:yMode val="edge"/>
              <c:x val="0.40575415573053369"/>
              <c:y val="0.90448765176282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9056"/>
        <c:crosses val="autoZero"/>
        <c:auto val="1"/>
        <c:lblAlgn val="ctr"/>
        <c:lblOffset val="100"/>
        <c:noMultiLvlLbl val="0"/>
      </c:catAx>
      <c:valAx>
        <c:axId val="-1644859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Sellable Space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WH (2)'!$ABK$85</c:f>
              <c:strCache>
                <c:ptCount val="1"/>
                <c:pt idx="0">
                  <c:v>Actual Sellable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WH (2)'!$ABE$86:$ABE$90</c:f>
              <c:strCache>
                <c:ptCount val="5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Orugodawatta DC Cold Room </c:v>
                </c:pt>
                <c:pt idx="4">
                  <c:v>Peliyagoda DC</c:v>
                </c:pt>
              </c:strCache>
            </c:strRef>
          </c:cat>
          <c:val>
            <c:numRef>
              <c:f>'All WH (2)'!$ABK$86:$ABK$90</c:f>
              <c:numCache>
                <c:formatCode>_(* #,##0_);_(* \(#,##0\);_(* "-"??_);_(@_)</c:formatCode>
                <c:ptCount val="5"/>
                <c:pt idx="0">
                  <c:v>11596.328100000001</c:v>
                </c:pt>
                <c:pt idx="1">
                  <c:v>0</c:v>
                </c:pt>
                <c:pt idx="2">
                  <c:v>4741.2816526999986</c:v>
                </c:pt>
                <c:pt idx="3">
                  <c:v>60.560633300000141</c:v>
                </c:pt>
                <c:pt idx="4">
                  <c:v>3786.8591000000006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08-48A1-87FF-C9C1593028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35997967"/>
        <c:axId val="45258927"/>
      </c:barChart>
      <c:catAx>
        <c:axId val="935997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8927"/>
        <c:crosses val="autoZero"/>
        <c:auto val="1"/>
        <c:lblAlgn val="ctr"/>
        <c:lblOffset val="100"/>
        <c:noMultiLvlLbl val="0"/>
      </c:catAx>
      <c:valAx>
        <c:axId val="45258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7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plant).xlsx]unoccupied cbm!PivotTable2</c:name>
    <c:fmtId val="215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Unoccupied Space   </a:t>
            </a:r>
          </a:p>
        </c:rich>
      </c:tx>
      <c:layout>
        <c:manualLayout>
          <c:xMode val="edge"/>
          <c:yMode val="edge"/>
          <c:x val="0.35487955429114243"/>
          <c:y val="3.27971133700515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</c:pivotFmt>
      <c:pivotFmt>
        <c:idx val="9"/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'unoccupied cbm'!$B$3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60AD-46AF-A04B-03B2BF2C263D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60AD-46AF-A04B-03B2BF2C263D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60AD-46AF-A04B-03B2BF2C263D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60AD-46AF-A04B-03B2BF2C263D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60AD-46AF-A04B-03B2BF2C263D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60AD-46AF-A04B-03B2BF2C263D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60AD-46AF-A04B-03B2BF2C263D}"/>
              </c:ext>
            </c:extLst>
          </c:dPt>
          <c:dLbls>
            <c:numFmt formatCode="_(* #,##0_);_(* \(#,##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'unoccupied cbm'!$A$4:$A$10</c:f>
              <c:strCache>
                <c:ptCount val="6"/>
                <c:pt idx="0">
                  <c:v>Expo Global Freeport </c:v>
                </c:pt>
                <c:pt idx="1">
                  <c:v>Hirdaramani Woven Client Warehouse </c:v>
                </c:pt>
                <c:pt idx="2">
                  <c:v>Kandana DC</c:v>
                </c:pt>
                <c:pt idx="3">
                  <c:v>Orugodawatta DC</c:v>
                </c:pt>
                <c:pt idx="4">
                  <c:v>Orugodawatta DC Cold Room </c:v>
                </c:pt>
                <c:pt idx="5">
                  <c:v>Peliyagoda DC</c:v>
                </c:pt>
              </c:strCache>
            </c:strRef>
          </c:cat>
          <c:val>
            <c:numRef>
              <c:f>'unoccupied cbm'!$B$4:$B$10</c:f>
              <c:numCache>
                <c:formatCode>General</c:formatCode>
                <c:ptCount val="6"/>
                <c:pt idx="0">
                  <c:v>12226.328100000001</c:v>
                </c:pt>
                <c:pt idx="1">
                  <c:v>1185.1590000000001</c:v>
                </c:pt>
                <c:pt idx="2">
                  <c:v>0</c:v>
                </c:pt>
                <c:pt idx="3">
                  <c:v>5462.2816526999986</c:v>
                </c:pt>
                <c:pt idx="4">
                  <c:v>63.560633300000141</c:v>
                </c:pt>
                <c:pt idx="5">
                  <c:v>4094.3591000000006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0AD-46AF-A04B-03B2BF2C26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644858512"/>
        <c:axId val="-1644857424"/>
      </c:barChart>
      <c:catAx>
        <c:axId val="-1644858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Distribution Centre</a:t>
                </a:r>
              </a:p>
            </c:rich>
          </c:tx>
          <c:layout>
            <c:manualLayout>
              <c:xMode val="edge"/>
              <c:yMode val="edge"/>
              <c:x val="0.47719825026935458"/>
              <c:y val="0.891562607213979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7424"/>
        <c:crosses val="autoZero"/>
        <c:auto val="1"/>
        <c:lblAlgn val="ctr"/>
        <c:lblOffset val="100"/>
        <c:noMultiLvlLbl val="0"/>
      </c:catAx>
      <c:valAx>
        <c:axId val="-1644857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rPr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plant).xlsx]WH Occu. trend Analysis!PivotTable2</c:name>
    <c:fmtId val="195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DC Occupancy - Trend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'WH Occu. trend Analysis'!$O$599</c:f>
              <c:strCache>
                <c:ptCount val="1"/>
                <c:pt idx="0">
                  <c:v>Expo Global Freeport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'WH Occu. trend Analysis'!$N$600:$N$850</c:f>
              <c:strCache>
                <c:ptCount val="250"/>
                <c:pt idx="0">
                  <c:v>7/4/2022</c:v>
                </c:pt>
                <c:pt idx="1">
                  <c:v>7/5/2022</c:v>
                </c:pt>
                <c:pt idx="2">
                  <c:v>7/6/2022</c:v>
                </c:pt>
                <c:pt idx="3">
                  <c:v>7/7/2022</c:v>
                </c:pt>
                <c:pt idx="4">
                  <c:v>7/8/2022</c:v>
                </c:pt>
                <c:pt idx="5">
                  <c:v>7/11/2022</c:v>
                </c:pt>
                <c:pt idx="6">
                  <c:v>7/12/2022</c:v>
                </c:pt>
                <c:pt idx="7">
                  <c:v>7/14/2022</c:v>
                </c:pt>
                <c:pt idx="8">
                  <c:v>7/15/2022</c:v>
                </c:pt>
                <c:pt idx="9">
                  <c:v>7/18/2022</c:v>
                </c:pt>
                <c:pt idx="10">
                  <c:v>7/19/2022</c:v>
                </c:pt>
                <c:pt idx="11">
                  <c:v>7/20/2022</c:v>
                </c:pt>
                <c:pt idx="12">
                  <c:v>7/21/2022</c:v>
                </c:pt>
                <c:pt idx="13">
                  <c:v>7/22/2022</c:v>
                </c:pt>
                <c:pt idx="14">
                  <c:v>7/25/2022</c:v>
                </c:pt>
                <c:pt idx="15">
                  <c:v>7/26/2022</c:v>
                </c:pt>
                <c:pt idx="16">
                  <c:v>7/27/2022</c:v>
                </c:pt>
                <c:pt idx="17">
                  <c:v>7/28/2022</c:v>
                </c:pt>
                <c:pt idx="18">
                  <c:v>7/29/2022</c:v>
                </c:pt>
                <c:pt idx="19">
                  <c:v>8/1/2022</c:v>
                </c:pt>
                <c:pt idx="20">
                  <c:v>8/2/2022</c:v>
                </c:pt>
                <c:pt idx="21">
                  <c:v>8/3/2022</c:v>
                </c:pt>
                <c:pt idx="22">
                  <c:v>8/4/2022</c:v>
                </c:pt>
                <c:pt idx="23">
                  <c:v>8/5/2022</c:v>
                </c:pt>
                <c:pt idx="24">
                  <c:v>8/8/2022</c:v>
                </c:pt>
                <c:pt idx="25">
                  <c:v>8/9/2022</c:v>
                </c:pt>
                <c:pt idx="26">
                  <c:v>8/10/2022</c:v>
                </c:pt>
                <c:pt idx="27">
                  <c:v>8/15/2022</c:v>
                </c:pt>
                <c:pt idx="28">
                  <c:v>8/16/2022</c:v>
                </c:pt>
                <c:pt idx="29">
                  <c:v>8/17/2022</c:v>
                </c:pt>
                <c:pt idx="30">
                  <c:v>8/18/2022</c:v>
                </c:pt>
                <c:pt idx="31">
                  <c:v>8/19/2022</c:v>
                </c:pt>
                <c:pt idx="32">
                  <c:v>8/22/2022</c:v>
                </c:pt>
                <c:pt idx="33">
                  <c:v>8/23/2022</c:v>
                </c:pt>
                <c:pt idx="34">
                  <c:v>8/24/2022</c:v>
                </c:pt>
                <c:pt idx="35">
                  <c:v>8/25/2022</c:v>
                </c:pt>
                <c:pt idx="36">
                  <c:v>8/26/2022</c:v>
                </c:pt>
                <c:pt idx="37">
                  <c:v>8/29/2022</c:v>
                </c:pt>
                <c:pt idx="38">
                  <c:v>8/30/2022</c:v>
                </c:pt>
                <c:pt idx="39">
                  <c:v>8/31/2022</c:v>
                </c:pt>
                <c:pt idx="40">
                  <c:v>9/1/2022</c:v>
                </c:pt>
                <c:pt idx="41">
                  <c:v>9/2/2022</c:v>
                </c:pt>
                <c:pt idx="42">
                  <c:v>9/5/2022</c:v>
                </c:pt>
                <c:pt idx="43">
                  <c:v>9/6/2022</c:v>
                </c:pt>
                <c:pt idx="44">
                  <c:v>9/7/2022</c:v>
                </c:pt>
                <c:pt idx="45">
                  <c:v>9/9/2022</c:v>
                </c:pt>
                <c:pt idx="46">
                  <c:v>9/13/2022</c:v>
                </c:pt>
                <c:pt idx="47">
                  <c:v>9/14/2022</c:v>
                </c:pt>
                <c:pt idx="48">
                  <c:v>9/15/2022</c:v>
                </c:pt>
                <c:pt idx="49">
                  <c:v>9/16/2022</c:v>
                </c:pt>
                <c:pt idx="50">
                  <c:v>9/19/2022</c:v>
                </c:pt>
                <c:pt idx="51">
                  <c:v>9/20/2022</c:v>
                </c:pt>
                <c:pt idx="52">
                  <c:v>9/21/2022</c:v>
                </c:pt>
                <c:pt idx="53">
                  <c:v>9/22/2022</c:v>
                </c:pt>
                <c:pt idx="54">
                  <c:v>9/23/2022</c:v>
                </c:pt>
                <c:pt idx="55">
                  <c:v>9/26/2022</c:v>
                </c:pt>
                <c:pt idx="56">
                  <c:v>9/27/2022</c:v>
                </c:pt>
                <c:pt idx="57">
                  <c:v>9/28/2022</c:v>
                </c:pt>
                <c:pt idx="58">
                  <c:v>9/29/2022</c:v>
                </c:pt>
                <c:pt idx="59">
                  <c:v>9/30/2022</c:v>
                </c:pt>
                <c:pt idx="60">
                  <c:v>10/3/2022</c:v>
                </c:pt>
                <c:pt idx="61">
                  <c:v>10/4/2022</c:v>
                </c:pt>
                <c:pt idx="62">
                  <c:v>10/5/2022</c:v>
                </c:pt>
                <c:pt idx="63">
                  <c:v>10/6/2022</c:v>
                </c:pt>
                <c:pt idx="64">
                  <c:v>10/7/2022</c:v>
                </c:pt>
                <c:pt idx="65">
                  <c:v>10/10/2022</c:v>
                </c:pt>
                <c:pt idx="66">
                  <c:v>10/11/2022</c:v>
                </c:pt>
                <c:pt idx="67">
                  <c:v>10/12/2022</c:v>
                </c:pt>
                <c:pt idx="68">
                  <c:v>10/13/2022</c:v>
                </c:pt>
                <c:pt idx="69">
                  <c:v>10/14/2022</c:v>
                </c:pt>
                <c:pt idx="70">
                  <c:v>10/17/2022</c:v>
                </c:pt>
                <c:pt idx="71">
                  <c:v>10/18/2022</c:v>
                </c:pt>
                <c:pt idx="72">
                  <c:v>10/19/2022</c:v>
                </c:pt>
                <c:pt idx="73">
                  <c:v>10/20/2022</c:v>
                </c:pt>
                <c:pt idx="74">
                  <c:v>10/21/2022</c:v>
                </c:pt>
                <c:pt idx="75">
                  <c:v>10/24/2022</c:v>
                </c:pt>
                <c:pt idx="76">
                  <c:v>10/25/2022</c:v>
                </c:pt>
                <c:pt idx="77">
                  <c:v>10/26/2022</c:v>
                </c:pt>
                <c:pt idx="78">
                  <c:v>10/27/2022</c:v>
                </c:pt>
                <c:pt idx="79">
                  <c:v>10/28/2022</c:v>
                </c:pt>
                <c:pt idx="80">
                  <c:v>10/31/2022</c:v>
                </c:pt>
                <c:pt idx="81">
                  <c:v>11/1/2022</c:v>
                </c:pt>
                <c:pt idx="82">
                  <c:v>11/2/2022</c:v>
                </c:pt>
                <c:pt idx="83">
                  <c:v>11/3/2022</c:v>
                </c:pt>
                <c:pt idx="84">
                  <c:v>11/4/2022</c:v>
                </c:pt>
                <c:pt idx="85">
                  <c:v>11/8/2022</c:v>
                </c:pt>
                <c:pt idx="86">
                  <c:v>11/9/2022</c:v>
                </c:pt>
                <c:pt idx="87">
                  <c:v>11/10/2022</c:v>
                </c:pt>
                <c:pt idx="88">
                  <c:v>11/11/2022</c:v>
                </c:pt>
                <c:pt idx="89">
                  <c:v>11/15/2022</c:v>
                </c:pt>
                <c:pt idx="90">
                  <c:v>11/16/2022</c:v>
                </c:pt>
                <c:pt idx="91">
                  <c:v>11/17/2022</c:v>
                </c:pt>
                <c:pt idx="92">
                  <c:v>11/18/2022</c:v>
                </c:pt>
                <c:pt idx="93">
                  <c:v>11/21/2022</c:v>
                </c:pt>
                <c:pt idx="94">
                  <c:v>11/22/2022</c:v>
                </c:pt>
                <c:pt idx="95">
                  <c:v>11/23/2022</c:v>
                </c:pt>
                <c:pt idx="96">
                  <c:v>11/24/2022</c:v>
                </c:pt>
                <c:pt idx="97">
                  <c:v>11/25/2022</c:v>
                </c:pt>
                <c:pt idx="98">
                  <c:v>11/28/2022</c:v>
                </c:pt>
                <c:pt idx="99">
                  <c:v>11/30/2022</c:v>
                </c:pt>
                <c:pt idx="100">
                  <c:v>12/1/2022</c:v>
                </c:pt>
                <c:pt idx="101">
                  <c:v>12/2/2022</c:v>
                </c:pt>
                <c:pt idx="102">
                  <c:v>12/5/2022</c:v>
                </c:pt>
                <c:pt idx="103">
                  <c:v>12/6/2022</c:v>
                </c:pt>
                <c:pt idx="104">
                  <c:v>12/8/2022</c:v>
                </c:pt>
                <c:pt idx="105">
                  <c:v>12/9/2022</c:v>
                </c:pt>
                <c:pt idx="106">
                  <c:v>12/12/2022</c:v>
                </c:pt>
                <c:pt idx="107">
                  <c:v>12/13/2022</c:v>
                </c:pt>
                <c:pt idx="108">
                  <c:v>12/14/2022</c:v>
                </c:pt>
                <c:pt idx="109">
                  <c:v>12/15/2022</c:v>
                </c:pt>
                <c:pt idx="110">
                  <c:v>12/16/2022</c:v>
                </c:pt>
                <c:pt idx="111">
                  <c:v>12/19/2022</c:v>
                </c:pt>
                <c:pt idx="112">
                  <c:v>12/20/2022</c:v>
                </c:pt>
                <c:pt idx="113">
                  <c:v>12/22/2022</c:v>
                </c:pt>
                <c:pt idx="114">
                  <c:v>12/23/2022</c:v>
                </c:pt>
                <c:pt idx="115">
                  <c:v>12/27/2022</c:v>
                </c:pt>
                <c:pt idx="116">
                  <c:v>12/28/2022</c:v>
                </c:pt>
                <c:pt idx="117">
                  <c:v>12/29/2022</c:v>
                </c:pt>
                <c:pt idx="118">
                  <c:v>12/30/2022</c:v>
                </c:pt>
                <c:pt idx="119">
                  <c:v>1/2/2023</c:v>
                </c:pt>
                <c:pt idx="120">
                  <c:v>1/3/2023</c:v>
                </c:pt>
                <c:pt idx="121">
                  <c:v>1/4/2023</c:v>
                </c:pt>
                <c:pt idx="122">
                  <c:v>1/5/2023</c:v>
                </c:pt>
                <c:pt idx="123">
                  <c:v>1/9/2023</c:v>
                </c:pt>
                <c:pt idx="124">
                  <c:v>1/10/2023</c:v>
                </c:pt>
                <c:pt idx="125">
                  <c:v>1/11/2023</c:v>
                </c:pt>
                <c:pt idx="126">
                  <c:v>1/12/2023</c:v>
                </c:pt>
                <c:pt idx="127">
                  <c:v>1/13/2023</c:v>
                </c:pt>
                <c:pt idx="128">
                  <c:v>1/16/2023</c:v>
                </c:pt>
                <c:pt idx="129">
                  <c:v>1/17/2023</c:v>
                </c:pt>
                <c:pt idx="130">
                  <c:v>1/18/2023</c:v>
                </c:pt>
                <c:pt idx="131">
                  <c:v>1/19/2023</c:v>
                </c:pt>
                <c:pt idx="132">
                  <c:v>1/20/2023</c:v>
                </c:pt>
                <c:pt idx="133">
                  <c:v>1/23/2023</c:v>
                </c:pt>
                <c:pt idx="134">
                  <c:v>1/24/2023</c:v>
                </c:pt>
                <c:pt idx="135">
                  <c:v>1/25/2023</c:v>
                </c:pt>
                <c:pt idx="136">
                  <c:v>1/26/2023</c:v>
                </c:pt>
                <c:pt idx="137">
                  <c:v>1/27/2023</c:v>
                </c:pt>
                <c:pt idx="138">
                  <c:v>1/30/2023</c:v>
                </c:pt>
                <c:pt idx="139">
                  <c:v>1/31/2023</c:v>
                </c:pt>
                <c:pt idx="140">
                  <c:v>2/1/2023</c:v>
                </c:pt>
                <c:pt idx="141">
                  <c:v>2/2/2023</c:v>
                </c:pt>
                <c:pt idx="142">
                  <c:v>2/3/2023</c:v>
                </c:pt>
                <c:pt idx="143">
                  <c:v>2/6/2023</c:v>
                </c:pt>
                <c:pt idx="144">
                  <c:v>2/7/2023</c:v>
                </c:pt>
                <c:pt idx="145">
                  <c:v>2/8/2023</c:v>
                </c:pt>
                <c:pt idx="146">
                  <c:v>2/9/2023</c:v>
                </c:pt>
                <c:pt idx="147">
                  <c:v>2/10/2023</c:v>
                </c:pt>
                <c:pt idx="148">
                  <c:v>2/13/2023</c:v>
                </c:pt>
                <c:pt idx="149">
                  <c:v>2/14/2023</c:v>
                </c:pt>
                <c:pt idx="150">
                  <c:v>2/15/2023</c:v>
                </c:pt>
                <c:pt idx="151">
                  <c:v>2/16/2023</c:v>
                </c:pt>
                <c:pt idx="152">
                  <c:v>2/17/2023</c:v>
                </c:pt>
                <c:pt idx="153">
                  <c:v>2/20/2023</c:v>
                </c:pt>
                <c:pt idx="154">
                  <c:v>2/21/2023</c:v>
                </c:pt>
                <c:pt idx="155">
                  <c:v>2/22/2023</c:v>
                </c:pt>
                <c:pt idx="156">
                  <c:v>2/23/2023</c:v>
                </c:pt>
                <c:pt idx="157">
                  <c:v>2/24/2023</c:v>
                </c:pt>
                <c:pt idx="158">
                  <c:v>2/27/2023</c:v>
                </c:pt>
                <c:pt idx="159">
                  <c:v>2/28/2023</c:v>
                </c:pt>
                <c:pt idx="160">
                  <c:v>3/1/2023</c:v>
                </c:pt>
                <c:pt idx="161">
                  <c:v>3/2/2023</c:v>
                </c:pt>
                <c:pt idx="162">
                  <c:v>3/3/2023</c:v>
                </c:pt>
                <c:pt idx="163">
                  <c:v>3/7/2023</c:v>
                </c:pt>
                <c:pt idx="164">
                  <c:v>3/8/2023</c:v>
                </c:pt>
                <c:pt idx="165">
                  <c:v>3/9/2023</c:v>
                </c:pt>
                <c:pt idx="166">
                  <c:v>3/10/2023</c:v>
                </c:pt>
                <c:pt idx="167">
                  <c:v>3/13/2023</c:v>
                </c:pt>
                <c:pt idx="168">
                  <c:v>3/14/2023</c:v>
                </c:pt>
                <c:pt idx="169">
                  <c:v>3/15/2023</c:v>
                </c:pt>
                <c:pt idx="170">
                  <c:v>3/16/2023</c:v>
                </c:pt>
                <c:pt idx="171">
                  <c:v>3/17/2023</c:v>
                </c:pt>
                <c:pt idx="172">
                  <c:v>3/20/2023</c:v>
                </c:pt>
                <c:pt idx="173">
                  <c:v>3/21/2023</c:v>
                </c:pt>
                <c:pt idx="174">
                  <c:v>3/22/2023</c:v>
                </c:pt>
                <c:pt idx="175">
                  <c:v>3/23/2023</c:v>
                </c:pt>
                <c:pt idx="176">
                  <c:v>3/24/2023</c:v>
                </c:pt>
                <c:pt idx="177">
                  <c:v>3/27/2023</c:v>
                </c:pt>
                <c:pt idx="178">
                  <c:v>3/28/2023</c:v>
                </c:pt>
                <c:pt idx="179">
                  <c:v>3/29/2023</c:v>
                </c:pt>
                <c:pt idx="180">
                  <c:v>3/30/2023</c:v>
                </c:pt>
                <c:pt idx="181">
                  <c:v>3/31/2023</c:v>
                </c:pt>
                <c:pt idx="182">
                  <c:v>4/3/2023</c:v>
                </c:pt>
                <c:pt idx="183">
                  <c:v>4/4/2023</c:v>
                </c:pt>
                <c:pt idx="184">
                  <c:v>4/6/2023</c:v>
                </c:pt>
                <c:pt idx="185">
                  <c:v>4/7/2023</c:v>
                </c:pt>
                <c:pt idx="186">
                  <c:v>4/10/2023</c:v>
                </c:pt>
                <c:pt idx="187">
                  <c:v>4/17/2023</c:v>
                </c:pt>
                <c:pt idx="188">
                  <c:v>4/18/2023</c:v>
                </c:pt>
                <c:pt idx="189">
                  <c:v>4/19/2023</c:v>
                </c:pt>
                <c:pt idx="190">
                  <c:v>4/20/2023</c:v>
                </c:pt>
                <c:pt idx="191">
                  <c:v>4/21/2023</c:v>
                </c:pt>
                <c:pt idx="192">
                  <c:v>4/24/2023</c:v>
                </c:pt>
                <c:pt idx="193">
                  <c:v>4/25/2023</c:v>
                </c:pt>
                <c:pt idx="194">
                  <c:v>4/26/2023</c:v>
                </c:pt>
                <c:pt idx="195">
                  <c:v>4/27/2023</c:v>
                </c:pt>
                <c:pt idx="196">
                  <c:v>4/28/2023</c:v>
                </c:pt>
                <c:pt idx="197">
                  <c:v>5/2/2023</c:v>
                </c:pt>
                <c:pt idx="198">
                  <c:v>5/3/2023</c:v>
                </c:pt>
                <c:pt idx="199">
                  <c:v>5/4/2023</c:v>
                </c:pt>
                <c:pt idx="200">
                  <c:v>5/8/2023</c:v>
                </c:pt>
                <c:pt idx="201">
                  <c:v>5/9/2023</c:v>
                </c:pt>
                <c:pt idx="202">
                  <c:v>5/10/2023</c:v>
                </c:pt>
                <c:pt idx="203">
                  <c:v>5/11/2023</c:v>
                </c:pt>
                <c:pt idx="204">
                  <c:v>5/12/2023</c:v>
                </c:pt>
                <c:pt idx="205">
                  <c:v>5/15/2023</c:v>
                </c:pt>
                <c:pt idx="206">
                  <c:v>5/16/2023</c:v>
                </c:pt>
                <c:pt idx="207">
                  <c:v>5/17/2023</c:v>
                </c:pt>
                <c:pt idx="208">
                  <c:v>5/18/2023</c:v>
                </c:pt>
                <c:pt idx="209">
                  <c:v>5/19/2023</c:v>
                </c:pt>
                <c:pt idx="210">
                  <c:v>5/22/2023</c:v>
                </c:pt>
                <c:pt idx="211">
                  <c:v>5/23/2023</c:v>
                </c:pt>
                <c:pt idx="212">
                  <c:v>5/24/2023</c:v>
                </c:pt>
                <c:pt idx="213">
                  <c:v>5/25/2023</c:v>
                </c:pt>
                <c:pt idx="214">
                  <c:v>5/26/2023</c:v>
                </c:pt>
                <c:pt idx="215">
                  <c:v>5/29/2023</c:v>
                </c:pt>
                <c:pt idx="216">
                  <c:v>5/30/2023</c:v>
                </c:pt>
                <c:pt idx="217">
                  <c:v>5/31/2023</c:v>
                </c:pt>
                <c:pt idx="218">
                  <c:v>6/1/2023</c:v>
                </c:pt>
                <c:pt idx="219">
                  <c:v>6/2/2023</c:v>
                </c:pt>
                <c:pt idx="220">
                  <c:v>6/5/2023</c:v>
                </c:pt>
                <c:pt idx="221">
                  <c:v>6/6/2023</c:v>
                </c:pt>
                <c:pt idx="222">
                  <c:v>6/7/2023</c:v>
                </c:pt>
                <c:pt idx="223">
                  <c:v>6/8/2023</c:v>
                </c:pt>
                <c:pt idx="224">
                  <c:v>6/9/2023</c:v>
                </c:pt>
                <c:pt idx="225">
                  <c:v>6/12/2023</c:v>
                </c:pt>
                <c:pt idx="226">
                  <c:v>6/14/2023</c:v>
                </c:pt>
                <c:pt idx="227">
                  <c:v>6/15/2023</c:v>
                </c:pt>
                <c:pt idx="228">
                  <c:v>6/16/2023</c:v>
                </c:pt>
                <c:pt idx="229">
                  <c:v>6/19/2023</c:v>
                </c:pt>
                <c:pt idx="230">
                  <c:v>6/20/2023</c:v>
                </c:pt>
                <c:pt idx="231">
                  <c:v>6/21/2023</c:v>
                </c:pt>
                <c:pt idx="232">
                  <c:v>6/22/2023</c:v>
                </c:pt>
                <c:pt idx="233">
                  <c:v>6/23/2023</c:v>
                </c:pt>
                <c:pt idx="234">
                  <c:v>6/26/2023</c:v>
                </c:pt>
                <c:pt idx="235">
                  <c:v>6/27/2023</c:v>
                </c:pt>
                <c:pt idx="236">
                  <c:v>6/28/2023</c:v>
                </c:pt>
                <c:pt idx="237">
                  <c:v>6/29/2023</c:v>
                </c:pt>
                <c:pt idx="238">
                  <c:v>6/30/2023</c:v>
                </c:pt>
                <c:pt idx="239">
                  <c:v>7/4/2023</c:v>
                </c:pt>
                <c:pt idx="240">
                  <c:v>7/5/2023</c:v>
                </c:pt>
                <c:pt idx="241">
                  <c:v>7/6/2023</c:v>
                </c:pt>
                <c:pt idx="242">
                  <c:v>7/7/2023</c:v>
                </c:pt>
                <c:pt idx="243">
                  <c:v>7/10/2023</c:v>
                </c:pt>
                <c:pt idx="244">
                  <c:v>7/11/2023</c:v>
                </c:pt>
                <c:pt idx="245">
                  <c:v>7/12/2023</c:v>
                </c:pt>
                <c:pt idx="246">
                  <c:v>7/13/2023</c:v>
                </c:pt>
                <c:pt idx="247">
                  <c:v>7/14/2023</c:v>
                </c:pt>
                <c:pt idx="248">
                  <c:v>7/17/2023</c:v>
                </c:pt>
                <c:pt idx="249">
                  <c:v>7/21/2023</c:v>
                </c:pt>
              </c:strCache>
            </c:strRef>
          </c:cat>
          <c:val>
            <c:numRef>
              <c:f>'WH Occu. trend Analysis'!$O$600:$O$850</c:f>
              <c:numCache>
                <c:formatCode>General</c:formatCode>
                <c:ptCount val="250"/>
                <c:pt idx="0">
                  <c:v>17714.587950000008</c:v>
                </c:pt>
                <c:pt idx="1">
                  <c:v>17489.783350000002</c:v>
                </c:pt>
                <c:pt idx="2">
                  <c:v>18075.940549999999</c:v>
                </c:pt>
                <c:pt idx="3">
                  <c:v>18032.030549999989</c:v>
                </c:pt>
                <c:pt idx="4">
                  <c:v>17424.343349999988</c:v>
                </c:pt>
                <c:pt idx="5">
                  <c:v>18032.030549999989</c:v>
                </c:pt>
                <c:pt idx="6">
                  <c:v>16697.927449999985</c:v>
                </c:pt>
                <c:pt idx="7">
                  <c:v>16241.971649999989</c:v>
                </c:pt>
                <c:pt idx="8">
                  <c:v>17201.614549999984</c:v>
                </c:pt>
                <c:pt idx="9">
                  <c:v>16106.787549999994</c:v>
                </c:pt>
                <c:pt idx="10">
                  <c:v>15872.608549999992</c:v>
                </c:pt>
                <c:pt idx="11">
                  <c:v>16047.048099999998</c:v>
                </c:pt>
                <c:pt idx="12">
                  <c:v>15798.015599999992</c:v>
                </c:pt>
                <c:pt idx="13">
                  <c:v>15734.979899999989</c:v>
                </c:pt>
                <c:pt idx="14">
                  <c:v>15435.077400000002</c:v>
                </c:pt>
                <c:pt idx="15">
                  <c:v>15334.059599999999</c:v>
                </c:pt>
                <c:pt idx="16">
                  <c:v>15426.221299999999</c:v>
                </c:pt>
                <c:pt idx="17">
                  <c:v>15302.587249999991</c:v>
                </c:pt>
                <c:pt idx="18">
                  <c:v>15375.083499999993</c:v>
                </c:pt>
                <c:pt idx="19">
                  <c:v>15572.845900000002</c:v>
                </c:pt>
                <c:pt idx="20">
                  <c:v>15226.638899999996</c:v>
                </c:pt>
                <c:pt idx="21">
                  <c:v>15487.296049999988</c:v>
                </c:pt>
                <c:pt idx="22">
                  <c:v>14998.620749999991</c:v>
                </c:pt>
                <c:pt idx="23">
                  <c:v>14810.987250000004</c:v>
                </c:pt>
                <c:pt idx="24">
                  <c:v>14177.244050000005</c:v>
                </c:pt>
                <c:pt idx="25">
                  <c:v>14245.983150000009</c:v>
                </c:pt>
                <c:pt idx="26">
                  <c:v>14412.517000000005</c:v>
                </c:pt>
                <c:pt idx="27">
                  <c:v>14255.263400000005</c:v>
                </c:pt>
                <c:pt idx="28">
                  <c:v>14382.347900000002</c:v>
                </c:pt>
                <c:pt idx="29">
                  <c:v>14252.435500000001</c:v>
                </c:pt>
                <c:pt idx="30">
                  <c:v>14555.194199999998</c:v>
                </c:pt>
                <c:pt idx="31">
                  <c:v>14660.986100000007</c:v>
                </c:pt>
                <c:pt idx="32">
                  <c:v>13603.230600000001</c:v>
                </c:pt>
                <c:pt idx="33">
                  <c:v>13725.270500000002</c:v>
                </c:pt>
                <c:pt idx="34">
                  <c:v>13639.087500000001</c:v>
                </c:pt>
                <c:pt idx="35">
                  <c:v>13679.052100000006</c:v>
                </c:pt>
                <c:pt idx="36">
                  <c:v>13708</c:v>
                </c:pt>
                <c:pt idx="37">
                  <c:v>13477.094200000007</c:v>
                </c:pt>
                <c:pt idx="38">
                  <c:v>13524.797700000003</c:v>
                </c:pt>
                <c:pt idx="39">
                  <c:v>13593.508300000005</c:v>
                </c:pt>
                <c:pt idx="40">
                  <c:v>13660.574900000003</c:v>
                </c:pt>
                <c:pt idx="41">
                  <c:v>14071</c:v>
                </c:pt>
                <c:pt idx="42">
                  <c:v>14293.175799999997</c:v>
                </c:pt>
                <c:pt idx="43">
                  <c:v>14363.189200000001</c:v>
                </c:pt>
                <c:pt idx="44">
                  <c:v>14388.751999999997</c:v>
                </c:pt>
                <c:pt idx="45">
                  <c:v>14619.317899999998</c:v>
                </c:pt>
                <c:pt idx="46">
                  <c:v>14766</c:v>
                </c:pt>
                <c:pt idx="47">
                  <c:v>15055.165800000002</c:v>
                </c:pt>
                <c:pt idx="48">
                  <c:v>15081.017100000001</c:v>
                </c:pt>
                <c:pt idx="49">
                  <c:v>15111.514800000003</c:v>
                </c:pt>
                <c:pt idx="50">
                  <c:v>14457.796599999998</c:v>
                </c:pt>
                <c:pt idx="51">
                  <c:v>14570.085600000002</c:v>
                </c:pt>
                <c:pt idx="52">
                  <c:v>14751.837500000001</c:v>
                </c:pt>
                <c:pt idx="53">
                  <c:v>14935.051700000002</c:v>
                </c:pt>
                <c:pt idx="54">
                  <c:v>15452</c:v>
                </c:pt>
                <c:pt idx="55">
                  <c:v>15181.826400000005</c:v>
                </c:pt>
                <c:pt idx="56">
                  <c:v>16043</c:v>
                </c:pt>
                <c:pt idx="57">
                  <c:v>16308</c:v>
                </c:pt>
                <c:pt idx="58">
                  <c:v>16543</c:v>
                </c:pt>
                <c:pt idx="59">
                  <c:v>16791</c:v>
                </c:pt>
                <c:pt idx="60">
                  <c:v>15925</c:v>
                </c:pt>
                <c:pt idx="61">
                  <c:v>15542</c:v>
                </c:pt>
                <c:pt idx="62">
                  <c:v>15309</c:v>
                </c:pt>
                <c:pt idx="63">
                  <c:v>14800</c:v>
                </c:pt>
                <c:pt idx="64">
                  <c:v>14746</c:v>
                </c:pt>
                <c:pt idx="65">
                  <c:v>14252</c:v>
                </c:pt>
                <c:pt idx="66">
                  <c:v>14195</c:v>
                </c:pt>
                <c:pt idx="67">
                  <c:v>14296</c:v>
                </c:pt>
                <c:pt idx="68">
                  <c:v>14235</c:v>
                </c:pt>
                <c:pt idx="69">
                  <c:v>14425</c:v>
                </c:pt>
                <c:pt idx="70">
                  <c:v>14084</c:v>
                </c:pt>
                <c:pt idx="71">
                  <c:v>14160</c:v>
                </c:pt>
                <c:pt idx="72">
                  <c:v>13959</c:v>
                </c:pt>
                <c:pt idx="73">
                  <c:v>13790</c:v>
                </c:pt>
                <c:pt idx="74">
                  <c:v>13987</c:v>
                </c:pt>
                <c:pt idx="75">
                  <c:v>13694</c:v>
                </c:pt>
                <c:pt idx="76">
                  <c:v>13723</c:v>
                </c:pt>
                <c:pt idx="77">
                  <c:v>13755</c:v>
                </c:pt>
                <c:pt idx="78">
                  <c:v>13778</c:v>
                </c:pt>
                <c:pt idx="79">
                  <c:v>13796</c:v>
                </c:pt>
                <c:pt idx="80">
                  <c:v>13016</c:v>
                </c:pt>
                <c:pt idx="81">
                  <c:v>12341</c:v>
                </c:pt>
                <c:pt idx="82">
                  <c:v>12475</c:v>
                </c:pt>
                <c:pt idx="83">
                  <c:v>12230</c:v>
                </c:pt>
                <c:pt idx="84">
                  <c:v>12306</c:v>
                </c:pt>
                <c:pt idx="85">
                  <c:v>11943</c:v>
                </c:pt>
                <c:pt idx="86">
                  <c:v>11765</c:v>
                </c:pt>
                <c:pt idx="87">
                  <c:v>11967</c:v>
                </c:pt>
                <c:pt idx="88">
                  <c:v>12450</c:v>
                </c:pt>
                <c:pt idx="89">
                  <c:v>12183</c:v>
                </c:pt>
                <c:pt idx="90">
                  <c:v>12133</c:v>
                </c:pt>
                <c:pt idx="91">
                  <c:v>12155</c:v>
                </c:pt>
                <c:pt idx="92">
                  <c:v>11711</c:v>
                </c:pt>
                <c:pt idx="93">
                  <c:v>11813</c:v>
                </c:pt>
                <c:pt idx="94">
                  <c:v>12145</c:v>
                </c:pt>
                <c:pt idx="95">
                  <c:v>12194</c:v>
                </c:pt>
                <c:pt idx="96">
                  <c:v>12334</c:v>
                </c:pt>
                <c:pt idx="97">
                  <c:v>11812</c:v>
                </c:pt>
                <c:pt idx="98">
                  <c:v>11558</c:v>
                </c:pt>
                <c:pt idx="99">
                  <c:v>11771</c:v>
                </c:pt>
                <c:pt idx="100">
                  <c:v>11808</c:v>
                </c:pt>
                <c:pt idx="101">
                  <c:v>11584</c:v>
                </c:pt>
                <c:pt idx="102">
                  <c:v>10987</c:v>
                </c:pt>
                <c:pt idx="103">
                  <c:v>11099</c:v>
                </c:pt>
                <c:pt idx="104">
                  <c:v>11012</c:v>
                </c:pt>
                <c:pt idx="105">
                  <c:v>10990</c:v>
                </c:pt>
                <c:pt idx="106">
                  <c:v>10898</c:v>
                </c:pt>
                <c:pt idx="107">
                  <c:v>10783</c:v>
                </c:pt>
                <c:pt idx="108">
                  <c:v>10401</c:v>
                </c:pt>
                <c:pt idx="109">
                  <c:v>10302</c:v>
                </c:pt>
                <c:pt idx="110">
                  <c:v>10151</c:v>
                </c:pt>
                <c:pt idx="111">
                  <c:v>10110</c:v>
                </c:pt>
                <c:pt idx="112">
                  <c:v>10077</c:v>
                </c:pt>
                <c:pt idx="113">
                  <c:v>9509</c:v>
                </c:pt>
                <c:pt idx="114">
                  <c:v>9080</c:v>
                </c:pt>
                <c:pt idx="115">
                  <c:v>8706</c:v>
                </c:pt>
                <c:pt idx="116">
                  <c:v>8610</c:v>
                </c:pt>
                <c:pt idx="117">
                  <c:v>8942</c:v>
                </c:pt>
                <c:pt idx="118">
                  <c:v>9533</c:v>
                </c:pt>
                <c:pt idx="119">
                  <c:v>9718</c:v>
                </c:pt>
                <c:pt idx="120">
                  <c:v>9718</c:v>
                </c:pt>
                <c:pt idx="121">
                  <c:v>9911</c:v>
                </c:pt>
                <c:pt idx="122">
                  <c:v>9872</c:v>
                </c:pt>
                <c:pt idx="123">
                  <c:v>9496</c:v>
                </c:pt>
                <c:pt idx="124">
                  <c:v>9586</c:v>
                </c:pt>
                <c:pt idx="125">
                  <c:v>9842</c:v>
                </c:pt>
                <c:pt idx="126">
                  <c:v>9917</c:v>
                </c:pt>
                <c:pt idx="127">
                  <c:v>10166</c:v>
                </c:pt>
                <c:pt idx="128">
                  <c:v>10141</c:v>
                </c:pt>
                <c:pt idx="129">
                  <c:v>10175</c:v>
                </c:pt>
                <c:pt idx="130">
                  <c:v>9857</c:v>
                </c:pt>
                <c:pt idx="131">
                  <c:v>10161</c:v>
                </c:pt>
                <c:pt idx="132">
                  <c:v>10387</c:v>
                </c:pt>
                <c:pt idx="133">
                  <c:v>9385.8566000000028</c:v>
                </c:pt>
                <c:pt idx="134">
                  <c:v>9732.8757000000005</c:v>
                </c:pt>
                <c:pt idx="135">
                  <c:v>9641.5955999999987</c:v>
                </c:pt>
                <c:pt idx="136">
                  <c:v>9524.6154000000024</c:v>
                </c:pt>
                <c:pt idx="137">
                  <c:v>9759.1138999999985</c:v>
                </c:pt>
                <c:pt idx="138">
                  <c:v>9284.0187000000005</c:v>
                </c:pt>
                <c:pt idx="139">
                  <c:v>9193.4285999999975</c:v>
                </c:pt>
                <c:pt idx="140">
                  <c:v>9357.8394999999982</c:v>
                </c:pt>
                <c:pt idx="141">
                  <c:v>9429.3827999999994</c:v>
                </c:pt>
                <c:pt idx="142">
                  <c:v>9404.0398999999998</c:v>
                </c:pt>
                <c:pt idx="143">
                  <c:v>9272.0577000000012</c:v>
                </c:pt>
                <c:pt idx="144">
                  <c:v>9277.6173000000017</c:v>
                </c:pt>
                <c:pt idx="145">
                  <c:v>9531.9174999999977</c:v>
                </c:pt>
                <c:pt idx="146">
                  <c:v>9735.5318000000007</c:v>
                </c:pt>
                <c:pt idx="147">
                  <c:v>9867.3722000000016</c:v>
                </c:pt>
                <c:pt idx="148">
                  <c:v>9509.7607000000025</c:v>
                </c:pt>
                <c:pt idx="149">
                  <c:v>9604.0259000000005</c:v>
                </c:pt>
                <c:pt idx="150">
                  <c:v>9651.2631000000001</c:v>
                </c:pt>
                <c:pt idx="151">
                  <c:v>9515.9134999999987</c:v>
                </c:pt>
                <c:pt idx="152">
                  <c:v>9604.6658999999981</c:v>
                </c:pt>
                <c:pt idx="153">
                  <c:v>9577.6799000000028</c:v>
                </c:pt>
                <c:pt idx="154">
                  <c:v>9709.6698000000033</c:v>
                </c:pt>
                <c:pt idx="155">
                  <c:v>9837.8232000000025</c:v>
                </c:pt>
                <c:pt idx="156">
                  <c:v>9737.8243000000002</c:v>
                </c:pt>
                <c:pt idx="157">
                  <c:v>9769.0147000000015</c:v>
                </c:pt>
                <c:pt idx="158">
                  <c:v>9224.2665000000015</c:v>
                </c:pt>
                <c:pt idx="159">
                  <c:v>9293.7114000000001</c:v>
                </c:pt>
                <c:pt idx="160">
                  <c:v>9521.309500000003</c:v>
                </c:pt>
                <c:pt idx="161">
                  <c:v>10044.922799999998</c:v>
                </c:pt>
                <c:pt idx="162">
                  <c:v>10119.466899999999</c:v>
                </c:pt>
                <c:pt idx="163">
                  <c:v>9965.4011000000028</c:v>
                </c:pt>
                <c:pt idx="164">
                  <c:v>10031.633399999999</c:v>
                </c:pt>
                <c:pt idx="165">
                  <c:v>10080.408999999996</c:v>
                </c:pt>
                <c:pt idx="166">
                  <c:v>10198.810000000003</c:v>
                </c:pt>
                <c:pt idx="167">
                  <c:v>9692.2633999999998</c:v>
                </c:pt>
                <c:pt idx="168">
                  <c:v>9107.9066000000003</c:v>
                </c:pt>
                <c:pt idx="169">
                  <c:v>9079.7736999999961</c:v>
                </c:pt>
                <c:pt idx="170">
                  <c:v>8838.1919999999991</c:v>
                </c:pt>
                <c:pt idx="171">
                  <c:v>8804.3613999999998</c:v>
                </c:pt>
                <c:pt idx="172">
                  <c:v>8163.4295999999977</c:v>
                </c:pt>
                <c:pt idx="173">
                  <c:v>8140.7380000000003</c:v>
                </c:pt>
                <c:pt idx="174">
                  <c:v>8005.0807000000004</c:v>
                </c:pt>
                <c:pt idx="175">
                  <c:v>8147.2260000000006</c:v>
                </c:pt>
                <c:pt idx="176">
                  <c:v>8401.9766999999974</c:v>
                </c:pt>
                <c:pt idx="177">
                  <c:v>8209.2708999999995</c:v>
                </c:pt>
                <c:pt idx="178">
                  <c:v>8394.0383000000002</c:v>
                </c:pt>
                <c:pt idx="179">
                  <c:v>8292.9871999999996</c:v>
                </c:pt>
                <c:pt idx="180">
                  <c:v>8353.6795000000002</c:v>
                </c:pt>
                <c:pt idx="181">
                  <c:v>8500.8803000000007</c:v>
                </c:pt>
                <c:pt idx="182">
                  <c:v>8353.883600000001</c:v>
                </c:pt>
                <c:pt idx="183">
                  <c:v>8353.883600000001</c:v>
                </c:pt>
                <c:pt idx="184">
                  <c:v>8869.9628000000048</c:v>
                </c:pt>
                <c:pt idx="185">
                  <c:v>9003.1434999999965</c:v>
                </c:pt>
                <c:pt idx="186">
                  <c:v>8584.2172999999984</c:v>
                </c:pt>
                <c:pt idx="187">
                  <c:v>9298.1760999999988</c:v>
                </c:pt>
                <c:pt idx="188">
                  <c:v>9301.7802000000011</c:v>
                </c:pt>
                <c:pt idx="189">
                  <c:v>9433.7200999999986</c:v>
                </c:pt>
                <c:pt idx="190">
                  <c:v>9721.9777999999988</c:v>
                </c:pt>
                <c:pt idx="191">
                  <c:v>9986.1178</c:v>
                </c:pt>
                <c:pt idx="192">
                  <c:v>10097.686400000001</c:v>
                </c:pt>
                <c:pt idx="193">
                  <c:v>10198.591499999997</c:v>
                </c:pt>
                <c:pt idx="194">
                  <c:v>10198.591499999997</c:v>
                </c:pt>
                <c:pt idx="195">
                  <c:v>9923.7808999999979</c:v>
                </c:pt>
                <c:pt idx="196">
                  <c:v>9831.5429000000004</c:v>
                </c:pt>
                <c:pt idx="197">
                  <c:v>9359.0434999999998</c:v>
                </c:pt>
                <c:pt idx="198">
                  <c:v>9367.124600000001</c:v>
                </c:pt>
                <c:pt idx="199">
                  <c:v>9400.6466</c:v>
                </c:pt>
                <c:pt idx="200">
                  <c:v>9090.1086000000014</c:v>
                </c:pt>
                <c:pt idx="201">
                  <c:v>9179.9661000000015</c:v>
                </c:pt>
                <c:pt idx="202">
                  <c:v>9372.5158999999967</c:v>
                </c:pt>
                <c:pt idx="203">
                  <c:v>9643.2371000000021</c:v>
                </c:pt>
                <c:pt idx="204">
                  <c:v>9670.7586000000028</c:v>
                </c:pt>
                <c:pt idx="205">
                  <c:v>9794.0877999999993</c:v>
                </c:pt>
                <c:pt idx="206">
                  <c:v>9909.7851999999984</c:v>
                </c:pt>
                <c:pt idx="207">
                  <c:v>10361.989999999998</c:v>
                </c:pt>
                <c:pt idx="208">
                  <c:v>10536.749500000002</c:v>
                </c:pt>
                <c:pt idx="209">
                  <c:v>10786.9085</c:v>
                </c:pt>
                <c:pt idx="210">
                  <c:v>10233.215400000001</c:v>
                </c:pt>
                <c:pt idx="211">
                  <c:v>10226.328799999997</c:v>
                </c:pt>
                <c:pt idx="212">
                  <c:v>10390.059199999996</c:v>
                </c:pt>
                <c:pt idx="213">
                  <c:v>10342.199500000002</c:v>
                </c:pt>
                <c:pt idx="214">
                  <c:v>10362.195799999998</c:v>
                </c:pt>
                <c:pt idx="215">
                  <c:v>9900.7883000000002</c:v>
                </c:pt>
                <c:pt idx="216">
                  <c:v>10015.081499999997</c:v>
                </c:pt>
                <c:pt idx="217">
                  <c:v>10235.396499999999</c:v>
                </c:pt>
                <c:pt idx="218">
                  <c:v>10109.493999999999</c:v>
                </c:pt>
                <c:pt idx="219">
                  <c:v>10203.001200000001</c:v>
                </c:pt>
                <c:pt idx="220">
                  <c:v>10203.001200000001</c:v>
                </c:pt>
                <c:pt idx="221">
                  <c:v>10072.040099999998</c:v>
                </c:pt>
                <c:pt idx="222">
                  <c:v>10541.817899999998</c:v>
                </c:pt>
                <c:pt idx="223">
                  <c:v>10640.995499999999</c:v>
                </c:pt>
                <c:pt idx="224">
                  <c:v>11256.960700000003</c:v>
                </c:pt>
                <c:pt idx="225">
                  <c:v>10641.846600000004</c:v>
                </c:pt>
                <c:pt idx="226">
                  <c:v>10559.5926</c:v>
                </c:pt>
                <c:pt idx="227">
                  <c:v>10356.783899999999</c:v>
                </c:pt>
                <c:pt idx="228">
                  <c:v>10376.0442</c:v>
                </c:pt>
                <c:pt idx="229">
                  <c:v>9625.7346999999991</c:v>
                </c:pt>
                <c:pt idx="230">
                  <c:v>9845.1732999999986</c:v>
                </c:pt>
                <c:pt idx="231">
                  <c:v>10089.220799999996</c:v>
                </c:pt>
                <c:pt idx="232">
                  <c:v>10152.1718</c:v>
                </c:pt>
                <c:pt idx="233">
                  <c:v>10571.250100000003</c:v>
                </c:pt>
                <c:pt idx="234">
                  <c:v>10202.344400000004</c:v>
                </c:pt>
                <c:pt idx="235">
                  <c:v>9550.8622000000014</c:v>
                </c:pt>
                <c:pt idx="236">
                  <c:v>9809.8439999999991</c:v>
                </c:pt>
                <c:pt idx="237">
                  <c:v>9575.1305000000029</c:v>
                </c:pt>
                <c:pt idx="238">
                  <c:v>9664.0006999999987</c:v>
                </c:pt>
                <c:pt idx="239">
                  <c:v>9206.8131999999987</c:v>
                </c:pt>
                <c:pt idx="240">
                  <c:v>9347.7569000000021</c:v>
                </c:pt>
                <c:pt idx="241">
                  <c:v>9413.5653999999995</c:v>
                </c:pt>
                <c:pt idx="242">
                  <c:v>9557.8596000000034</c:v>
                </c:pt>
                <c:pt idx="243">
                  <c:v>9296.2079999999987</c:v>
                </c:pt>
                <c:pt idx="244">
                  <c:v>9412.108400000001</c:v>
                </c:pt>
                <c:pt idx="245">
                  <c:v>9661.4138999999996</c:v>
                </c:pt>
                <c:pt idx="246">
                  <c:v>9678.5208999999977</c:v>
                </c:pt>
                <c:pt idx="247">
                  <c:v>9547.1323999999986</c:v>
                </c:pt>
                <c:pt idx="248">
                  <c:v>9339.1203999999998</c:v>
                </c:pt>
                <c:pt idx="249">
                  <c:v>8773.6718999999994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E0-47FD-91FE-CE7FA4B1221C}"/>
            </c:ext>
          </c:extLst>
        </c:ser>
        <c:ser>
          <c:idx val="1"/>
          <c:order val="1"/>
          <c:tx>
            <c:strRef>
              <c:f>'WH Occu. trend Analysis'!$P$599</c:f>
              <c:strCache>
                <c:ptCount val="1"/>
                <c:pt idx="0">
                  <c:v>Kandana DC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'WH Occu. trend Analysis'!$N$600:$N$850</c:f>
              <c:strCache>
                <c:ptCount val="250"/>
                <c:pt idx="0">
                  <c:v>7/4/2022</c:v>
                </c:pt>
                <c:pt idx="1">
                  <c:v>7/5/2022</c:v>
                </c:pt>
                <c:pt idx="2">
                  <c:v>7/6/2022</c:v>
                </c:pt>
                <c:pt idx="3">
                  <c:v>7/7/2022</c:v>
                </c:pt>
                <c:pt idx="4">
                  <c:v>7/8/2022</c:v>
                </c:pt>
                <c:pt idx="5">
                  <c:v>7/11/2022</c:v>
                </c:pt>
                <c:pt idx="6">
                  <c:v>7/12/2022</c:v>
                </c:pt>
                <c:pt idx="7">
                  <c:v>7/14/2022</c:v>
                </c:pt>
                <c:pt idx="8">
                  <c:v>7/15/2022</c:v>
                </c:pt>
                <c:pt idx="9">
                  <c:v>7/18/2022</c:v>
                </c:pt>
                <c:pt idx="10">
                  <c:v>7/19/2022</c:v>
                </c:pt>
                <c:pt idx="11">
                  <c:v>7/20/2022</c:v>
                </c:pt>
                <c:pt idx="12">
                  <c:v>7/21/2022</c:v>
                </c:pt>
                <c:pt idx="13">
                  <c:v>7/22/2022</c:v>
                </c:pt>
                <c:pt idx="14">
                  <c:v>7/25/2022</c:v>
                </c:pt>
                <c:pt idx="15">
                  <c:v>7/26/2022</c:v>
                </c:pt>
                <c:pt idx="16">
                  <c:v>7/27/2022</c:v>
                </c:pt>
                <c:pt idx="17">
                  <c:v>7/28/2022</c:v>
                </c:pt>
                <c:pt idx="18">
                  <c:v>7/29/2022</c:v>
                </c:pt>
                <c:pt idx="19">
                  <c:v>8/1/2022</c:v>
                </c:pt>
                <c:pt idx="20">
                  <c:v>8/2/2022</c:v>
                </c:pt>
                <c:pt idx="21">
                  <c:v>8/3/2022</c:v>
                </c:pt>
                <c:pt idx="22">
                  <c:v>8/4/2022</c:v>
                </c:pt>
                <c:pt idx="23">
                  <c:v>8/5/2022</c:v>
                </c:pt>
                <c:pt idx="24">
                  <c:v>8/8/2022</c:v>
                </c:pt>
                <c:pt idx="25">
                  <c:v>8/9/2022</c:v>
                </c:pt>
                <c:pt idx="26">
                  <c:v>8/10/2022</c:v>
                </c:pt>
                <c:pt idx="27">
                  <c:v>8/15/2022</c:v>
                </c:pt>
                <c:pt idx="28">
                  <c:v>8/16/2022</c:v>
                </c:pt>
                <c:pt idx="29">
                  <c:v>8/17/2022</c:v>
                </c:pt>
                <c:pt idx="30">
                  <c:v>8/18/2022</c:v>
                </c:pt>
                <c:pt idx="31">
                  <c:v>8/19/2022</c:v>
                </c:pt>
                <c:pt idx="32">
                  <c:v>8/22/2022</c:v>
                </c:pt>
                <c:pt idx="33">
                  <c:v>8/23/2022</c:v>
                </c:pt>
                <c:pt idx="34">
                  <c:v>8/24/2022</c:v>
                </c:pt>
                <c:pt idx="35">
                  <c:v>8/25/2022</c:v>
                </c:pt>
                <c:pt idx="36">
                  <c:v>8/26/2022</c:v>
                </c:pt>
                <c:pt idx="37">
                  <c:v>8/29/2022</c:v>
                </c:pt>
                <c:pt idx="38">
                  <c:v>8/30/2022</c:v>
                </c:pt>
                <c:pt idx="39">
                  <c:v>8/31/2022</c:v>
                </c:pt>
                <c:pt idx="40">
                  <c:v>9/1/2022</c:v>
                </c:pt>
                <c:pt idx="41">
                  <c:v>9/2/2022</c:v>
                </c:pt>
                <c:pt idx="42">
                  <c:v>9/5/2022</c:v>
                </c:pt>
                <c:pt idx="43">
                  <c:v>9/6/2022</c:v>
                </c:pt>
                <c:pt idx="44">
                  <c:v>9/7/2022</c:v>
                </c:pt>
                <c:pt idx="45">
                  <c:v>9/9/2022</c:v>
                </c:pt>
                <c:pt idx="46">
                  <c:v>9/13/2022</c:v>
                </c:pt>
                <c:pt idx="47">
                  <c:v>9/14/2022</c:v>
                </c:pt>
                <c:pt idx="48">
                  <c:v>9/15/2022</c:v>
                </c:pt>
                <c:pt idx="49">
                  <c:v>9/16/2022</c:v>
                </c:pt>
                <c:pt idx="50">
                  <c:v>9/19/2022</c:v>
                </c:pt>
                <c:pt idx="51">
                  <c:v>9/20/2022</c:v>
                </c:pt>
                <c:pt idx="52">
                  <c:v>9/21/2022</c:v>
                </c:pt>
                <c:pt idx="53">
                  <c:v>9/22/2022</c:v>
                </c:pt>
                <c:pt idx="54">
                  <c:v>9/23/2022</c:v>
                </c:pt>
                <c:pt idx="55">
                  <c:v>9/26/2022</c:v>
                </c:pt>
                <c:pt idx="56">
                  <c:v>9/27/2022</c:v>
                </c:pt>
                <c:pt idx="57">
                  <c:v>9/28/2022</c:v>
                </c:pt>
                <c:pt idx="58">
                  <c:v>9/29/2022</c:v>
                </c:pt>
                <c:pt idx="59">
                  <c:v>9/30/2022</c:v>
                </c:pt>
                <c:pt idx="60">
                  <c:v>10/3/2022</c:v>
                </c:pt>
                <c:pt idx="61">
                  <c:v>10/4/2022</c:v>
                </c:pt>
                <c:pt idx="62">
                  <c:v>10/5/2022</c:v>
                </c:pt>
                <c:pt idx="63">
                  <c:v>10/6/2022</c:v>
                </c:pt>
                <c:pt idx="64">
                  <c:v>10/7/2022</c:v>
                </c:pt>
                <c:pt idx="65">
                  <c:v>10/10/2022</c:v>
                </c:pt>
                <c:pt idx="66">
                  <c:v>10/11/2022</c:v>
                </c:pt>
                <c:pt idx="67">
                  <c:v>10/12/2022</c:v>
                </c:pt>
                <c:pt idx="68">
                  <c:v>10/13/2022</c:v>
                </c:pt>
                <c:pt idx="69">
                  <c:v>10/14/2022</c:v>
                </c:pt>
                <c:pt idx="70">
                  <c:v>10/17/2022</c:v>
                </c:pt>
                <c:pt idx="71">
                  <c:v>10/18/2022</c:v>
                </c:pt>
                <c:pt idx="72">
                  <c:v>10/19/2022</c:v>
                </c:pt>
                <c:pt idx="73">
                  <c:v>10/20/2022</c:v>
                </c:pt>
                <c:pt idx="74">
                  <c:v>10/21/2022</c:v>
                </c:pt>
                <c:pt idx="75">
                  <c:v>10/24/2022</c:v>
                </c:pt>
                <c:pt idx="76">
                  <c:v>10/25/2022</c:v>
                </c:pt>
                <c:pt idx="77">
                  <c:v>10/26/2022</c:v>
                </c:pt>
                <c:pt idx="78">
                  <c:v>10/27/2022</c:v>
                </c:pt>
                <c:pt idx="79">
                  <c:v>10/28/2022</c:v>
                </c:pt>
                <c:pt idx="80">
                  <c:v>10/31/2022</c:v>
                </c:pt>
                <c:pt idx="81">
                  <c:v>11/1/2022</c:v>
                </c:pt>
                <c:pt idx="82">
                  <c:v>11/2/2022</c:v>
                </c:pt>
                <c:pt idx="83">
                  <c:v>11/3/2022</c:v>
                </c:pt>
                <c:pt idx="84">
                  <c:v>11/4/2022</c:v>
                </c:pt>
                <c:pt idx="85">
                  <c:v>11/8/2022</c:v>
                </c:pt>
                <c:pt idx="86">
                  <c:v>11/9/2022</c:v>
                </c:pt>
                <c:pt idx="87">
                  <c:v>11/10/2022</c:v>
                </c:pt>
                <c:pt idx="88">
                  <c:v>11/11/2022</c:v>
                </c:pt>
                <c:pt idx="89">
                  <c:v>11/15/2022</c:v>
                </c:pt>
                <c:pt idx="90">
                  <c:v>11/16/2022</c:v>
                </c:pt>
                <c:pt idx="91">
                  <c:v>11/17/2022</c:v>
                </c:pt>
                <c:pt idx="92">
                  <c:v>11/18/2022</c:v>
                </c:pt>
                <c:pt idx="93">
                  <c:v>11/21/2022</c:v>
                </c:pt>
                <c:pt idx="94">
                  <c:v>11/22/2022</c:v>
                </c:pt>
                <c:pt idx="95">
                  <c:v>11/23/2022</c:v>
                </c:pt>
                <c:pt idx="96">
                  <c:v>11/24/2022</c:v>
                </c:pt>
                <c:pt idx="97">
                  <c:v>11/25/2022</c:v>
                </c:pt>
                <c:pt idx="98">
                  <c:v>11/28/2022</c:v>
                </c:pt>
                <c:pt idx="99">
                  <c:v>11/30/2022</c:v>
                </c:pt>
                <c:pt idx="100">
                  <c:v>12/1/2022</c:v>
                </c:pt>
                <c:pt idx="101">
                  <c:v>12/2/2022</c:v>
                </c:pt>
                <c:pt idx="102">
                  <c:v>12/5/2022</c:v>
                </c:pt>
                <c:pt idx="103">
                  <c:v>12/6/2022</c:v>
                </c:pt>
                <c:pt idx="104">
                  <c:v>12/8/2022</c:v>
                </c:pt>
                <c:pt idx="105">
                  <c:v>12/9/2022</c:v>
                </c:pt>
                <c:pt idx="106">
                  <c:v>12/12/2022</c:v>
                </c:pt>
                <c:pt idx="107">
                  <c:v>12/13/2022</c:v>
                </c:pt>
                <c:pt idx="108">
                  <c:v>12/14/2022</c:v>
                </c:pt>
                <c:pt idx="109">
                  <c:v>12/15/2022</c:v>
                </c:pt>
                <c:pt idx="110">
                  <c:v>12/16/2022</c:v>
                </c:pt>
                <c:pt idx="111">
                  <c:v>12/19/2022</c:v>
                </c:pt>
                <c:pt idx="112">
                  <c:v>12/20/2022</c:v>
                </c:pt>
                <c:pt idx="113">
                  <c:v>12/22/2022</c:v>
                </c:pt>
                <c:pt idx="114">
                  <c:v>12/23/2022</c:v>
                </c:pt>
                <c:pt idx="115">
                  <c:v>12/27/2022</c:v>
                </c:pt>
                <c:pt idx="116">
                  <c:v>12/28/2022</c:v>
                </c:pt>
                <c:pt idx="117">
                  <c:v>12/29/2022</c:v>
                </c:pt>
                <c:pt idx="118">
                  <c:v>12/30/2022</c:v>
                </c:pt>
                <c:pt idx="119">
                  <c:v>1/2/2023</c:v>
                </c:pt>
                <c:pt idx="120">
                  <c:v>1/3/2023</c:v>
                </c:pt>
                <c:pt idx="121">
                  <c:v>1/4/2023</c:v>
                </c:pt>
                <c:pt idx="122">
                  <c:v>1/5/2023</c:v>
                </c:pt>
                <c:pt idx="123">
                  <c:v>1/9/2023</c:v>
                </c:pt>
                <c:pt idx="124">
                  <c:v>1/10/2023</c:v>
                </c:pt>
                <c:pt idx="125">
                  <c:v>1/11/2023</c:v>
                </c:pt>
                <c:pt idx="126">
                  <c:v>1/12/2023</c:v>
                </c:pt>
                <c:pt idx="127">
                  <c:v>1/13/2023</c:v>
                </c:pt>
                <c:pt idx="128">
                  <c:v>1/16/2023</c:v>
                </c:pt>
                <c:pt idx="129">
                  <c:v>1/17/2023</c:v>
                </c:pt>
                <c:pt idx="130">
                  <c:v>1/18/2023</c:v>
                </c:pt>
                <c:pt idx="131">
                  <c:v>1/19/2023</c:v>
                </c:pt>
                <c:pt idx="132">
                  <c:v>1/20/2023</c:v>
                </c:pt>
                <c:pt idx="133">
                  <c:v>1/23/2023</c:v>
                </c:pt>
                <c:pt idx="134">
                  <c:v>1/24/2023</c:v>
                </c:pt>
                <c:pt idx="135">
                  <c:v>1/25/2023</c:v>
                </c:pt>
                <c:pt idx="136">
                  <c:v>1/26/2023</c:v>
                </c:pt>
                <c:pt idx="137">
                  <c:v>1/27/2023</c:v>
                </c:pt>
                <c:pt idx="138">
                  <c:v>1/30/2023</c:v>
                </c:pt>
                <c:pt idx="139">
                  <c:v>1/31/2023</c:v>
                </c:pt>
                <c:pt idx="140">
                  <c:v>2/1/2023</c:v>
                </c:pt>
                <c:pt idx="141">
                  <c:v>2/2/2023</c:v>
                </c:pt>
                <c:pt idx="142">
                  <c:v>2/3/2023</c:v>
                </c:pt>
                <c:pt idx="143">
                  <c:v>2/6/2023</c:v>
                </c:pt>
                <c:pt idx="144">
                  <c:v>2/7/2023</c:v>
                </c:pt>
                <c:pt idx="145">
                  <c:v>2/8/2023</c:v>
                </c:pt>
                <c:pt idx="146">
                  <c:v>2/9/2023</c:v>
                </c:pt>
                <c:pt idx="147">
                  <c:v>2/10/2023</c:v>
                </c:pt>
                <c:pt idx="148">
                  <c:v>2/13/2023</c:v>
                </c:pt>
                <c:pt idx="149">
                  <c:v>2/14/2023</c:v>
                </c:pt>
                <c:pt idx="150">
                  <c:v>2/15/2023</c:v>
                </c:pt>
                <c:pt idx="151">
                  <c:v>2/16/2023</c:v>
                </c:pt>
                <c:pt idx="152">
                  <c:v>2/17/2023</c:v>
                </c:pt>
                <c:pt idx="153">
                  <c:v>2/20/2023</c:v>
                </c:pt>
                <c:pt idx="154">
                  <c:v>2/21/2023</c:v>
                </c:pt>
                <c:pt idx="155">
                  <c:v>2/22/2023</c:v>
                </c:pt>
                <c:pt idx="156">
                  <c:v>2/23/2023</c:v>
                </c:pt>
                <c:pt idx="157">
                  <c:v>2/24/2023</c:v>
                </c:pt>
                <c:pt idx="158">
                  <c:v>2/27/2023</c:v>
                </c:pt>
                <c:pt idx="159">
                  <c:v>2/28/2023</c:v>
                </c:pt>
                <c:pt idx="160">
                  <c:v>3/1/2023</c:v>
                </c:pt>
                <c:pt idx="161">
                  <c:v>3/2/2023</c:v>
                </c:pt>
                <c:pt idx="162">
                  <c:v>3/3/2023</c:v>
                </c:pt>
                <c:pt idx="163">
                  <c:v>3/7/2023</c:v>
                </c:pt>
                <c:pt idx="164">
                  <c:v>3/8/2023</c:v>
                </c:pt>
                <c:pt idx="165">
                  <c:v>3/9/2023</c:v>
                </c:pt>
                <c:pt idx="166">
                  <c:v>3/10/2023</c:v>
                </c:pt>
                <c:pt idx="167">
                  <c:v>3/13/2023</c:v>
                </c:pt>
                <c:pt idx="168">
                  <c:v>3/14/2023</c:v>
                </c:pt>
                <c:pt idx="169">
                  <c:v>3/15/2023</c:v>
                </c:pt>
                <c:pt idx="170">
                  <c:v>3/16/2023</c:v>
                </c:pt>
                <c:pt idx="171">
                  <c:v>3/17/2023</c:v>
                </c:pt>
                <c:pt idx="172">
                  <c:v>3/20/2023</c:v>
                </c:pt>
                <c:pt idx="173">
                  <c:v>3/21/2023</c:v>
                </c:pt>
                <c:pt idx="174">
                  <c:v>3/22/2023</c:v>
                </c:pt>
                <c:pt idx="175">
                  <c:v>3/23/2023</c:v>
                </c:pt>
                <c:pt idx="176">
                  <c:v>3/24/2023</c:v>
                </c:pt>
                <c:pt idx="177">
                  <c:v>3/27/2023</c:v>
                </c:pt>
                <c:pt idx="178">
                  <c:v>3/28/2023</c:v>
                </c:pt>
                <c:pt idx="179">
                  <c:v>3/29/2023</c:v>
                </c:pt>
                <c:pt idx="180">
                  <c:v>3/30/2023</c:v>
                </c:pt>
                <c:pt idx="181">
                  <c:v>3/31/2023</c:v>
                </c:pt>
                <c:pt idx="182">
                  <c:v>4/3/2023</c:v>
                </c:pt>
                <c:pt idx="183">
                  <c:v>4/4/2023</c:v>
                </c:pt>
                <c:pt idx="184">
                  <c:v>4/6/2023</c:v>
                </c:pt>
                <c:pt idx="185">
                  <c:v>4/7/2023</c:v>
                </c:pt>
                <c:pt idx="186">
                  <c:v>4/10/2023</c:v>
                </c:pt>
                <c:pt idx="187">
                  <c:v>4/17/2023</c:v>
                </c:pt>
                <c:pt idx="188">
                  <c:v>4/18/2023</c:v>
                </c:pt>
                <c:pt idx="189">
                  <c:v>4/19/2023</c:v>
                </c:pt>
                <c:pt idx="190">
                  <c:v>4/20/2023</c:v>
                </c:pt>
                <c:pt idx="191">
                  <c:v>4/21/2023</c:v>
                </c:pt>
                <c:pt idx="192">
                  <c:v>4/24/2023</c:v>
                </c:pt>
                <c:pt idx="193">
                  <c:v>4/25/2023</c:v>
                </c:pt>
                <c:pt idx="194">
                  <c:v>4/26/2023</c:v>
                </c:pt>
                <c:pt idx="195">
                  <c:v>4/27/2023</c:v>
                </c:pt>
                <c:pt idx="196">
                  <c:v>4/28/2023</c:v>
                </c:pt>
                <c:pt idx="197">
                  <c:v>5/2/2023</c:v>
                </c:pt>
                <c:pt idx="198">
                  <c:v>5/3/2023</c:v>
                </c:pt>
                <c:pt idx="199">
                  <c:v>5/4/2023</c:v>
                </c:pt>
                <c:pt idx="200">
                  <c:v>5/8/2023</c:v>
                </c:pt>
                <c:pt idx="201">
                  <c:v>5/9/2023</c:v>
                </c:pt>
                <c:pt idx="202">
                  <c:v>5/10/2023</c:v>
                </c:pt>
                <c:pt idx="203">
                  <c:v>5/11/2023</c:v>
                </c:pt>
                <c:pt idx="204">
                  <c:v>5/12/2023</c:v>
                </c:pt>
                <c:pt idx="205">
                  <c:v>5/15/2023</c:v>
                </c:pt>
                <c:pt idx="206">
                  <c:v>5/16/2023</c:v>
                </c:pt>
                <c:pt idx="207">
                  <c:v>5/17/2023</c:v>
                </c:pt>
                <c:pt idx="208">
                  <c:v>5/18/2023</c:v>
                </c:pt>
                <c:pt idx="209">
                  <c:v>5/19/2023</c:v>
                </c:pt>
                <c:pt idx="210">
                  <c:v>5/22/2023</c:v>
                </c:pt>
                <c:pt idx="211">
                  <c:v>5/23/2023</c:v>
                </c:pt>
                <c:pt idx="212">
                  <c:v>5/24/2023</c:v>
                </c:pt>
                <c:pt idx="213">
                  <c:v>5/25/2023</c:v>
                </c:pt>
                <c:pt idx="214">
                  <c:v>5/26/2023</c:v>
                </c:pt>
                <c:pt idx="215">
                  <c:v>5/29/2023</c:v>
                </c:pt>
                <c:pt idx="216">
                  <c:v>5/30/2023</c:v>
                </c:pt>
                <c:pt idx="217">
                  <c:v>5/31/2023</c:v>
                </c:pt>
                <c:pt idx="218">
                  <c:v>6/1/2023</c:v>
                </c:pt>
                <c:pt idx="219">
                  <c:v>6/2/2023</c:v>
                </c:pt>
                <c:pt idx="220">
                  <c:v>6/5/2023</c:v>
                </c:pt>
                <c:pt idx="221">
                  <c:v>6/6/2023</c:v>
                </c:pt>
                <c:pt idx="222">
                  <c:v>6/7/2023</c:v>
                </c:pt>
                <c:pt idx="223">
                  <c:v>6/8/2023</c:v>
                </c:pt>
                <c:pt idx="224">
                  <c:v>6/9/2023</c:v>
                </c:pt>
                <c:pt idx="225">
                  <c:v>6/12/2023</c:v>
                </c:pt>
                <c:pt idx="226">
                  <c:v>6/14/2023</c:v>
                </c:pt>
                <c:pt idx="227">
                  <c:v>6/15/2023</c:v>
                </c:pt>
                <c:pt idx="228">
                  <c:v>6/16/2023</c:v>
                </c:pt>
                <c:pt idx="229">
                  <c:v>6/19/2023</c:v>
                </c:pt>
                <c:pt idx="230">
                  <c:v>6/20/2023</c:v>
                </c:pt>
                <c:pt idx="231">
                  <c:v>6/21/2023</c:v>
                </c:pt>
                <c:pt idx="232">
                  <c:v>6/22/2023</c:v>
                </c:pt>
                <c:pt idx="233">
                  <c:v>6/23/2023</c:v>
                </c:pt>
                <c:pt idx="234">
                  <c:v>6/26/2023</c:v>
                </c:pt>
                <c:pt idx="235">
                  <c:v>6/27/2023</c:v>
                </c:pt>
                <c:pt idx="236">
                  <c:v>6/28/2023</c:v>
                </c:pt>
                <c:pt idx="237">
                  <c:v>6/29/2023</c:v>
                </c:pt>
                <c:pt idx="238">
                  <c:v>6/30/2023</c:v>
                </c:pt>
                <c:pt idx="239">
                  <c:v>7/4/2023</c:v>
                </c:pt>
                <c:pt idx="240">
                  <c:v>7/5/2023</c:v>
                </c:pt>
                <c:pt idx="241">
                  <c:v>7/6/2023</c:v>
                </c:pt>
                <c:pt idx="242">
                  <c:v>7/7/2023</c:v>
                </c:pt>
                <c:pt idx="243">
                  <c:v>7/10/2023</c:v>
                </c:pt>
                <c:pt idx="244">
                  <c:v>7/11/2023</c:v>
                </c:pt>
                <c:pt idx="245">
                  <c:v>7/12/2023</c:v>
                </c:pt>
                <c:pt idx="246">
                  <c:v>7/13/2023</c:v>
                </c:pt>
                <c:pt idx="247">
                  <c:v>7/14/2023</c:v>
                </c:pt>
                <c:pt idx="248">
                  <c:v>7/17/2023</c:v>
                </c:pt>
                <c:pt idx="249">
                  <c:v>7/21/2023</c:v>
                </c:pt>
              </c:strCache>
            </c:strRef>
          </c:cat>
          <c:val>
            <c:numRef>
              <c:f>'WH Occu. trend Analysis'!$P$600:$P$850</c:f>
              <c:numCache>
                <c:formatCode>General</c:formatCode>
                <c:ptCount val="250"/>
                <c:pt idx="0">
                  <c:v>7192.7950000000001</c:v>
                </c:pt>
                <c:pt idx="1">
                  <c:v>6872.7109999999993</c:v>
                </c:pt>
                <c:pt idx="2">
                  <c:v>6779.003999999999</c:v>
                </c:pt>
                <c:pt idx="3">
                  <c:v>6800.1809999999996</c:v>
                </c:pt>
                <c:pt idx="4">
                  <c:v>7087.1819999999998</c:v>
                </c:pt>
                <c:pt idx="5">
                  <c:v>6800.1809999999996</c:v>
                </c:pt>
                <c:pt idx="6">
                  <c:v>7236.1329999999998</c:v>
                </c:pt>
                <c:pt idx="7">
                  <c:v>7432.3509999999997</c:v>
                </c:pt>
                <c:pt idx="8">
                  <c:v>7381.8289999999997</c:v>
                </c:pt>
                <c:pt idx="9">
                  <c:v>7063.7489999999998</c:v>
                </c:pt>
                <c:pt idx="10">
                  <c:v>6982.3239999999996</c:v>
                </c:pt>
                <c:pt idx="11">
                  <c:v>7082.7349999999997</c:v>
                </c:pt>
                <c:pt idx="12">
                  <c:v>7140.8440000000001</c:v>
                </c:pt>
                <c:pt idx="13">
                  <c:v>7197.1869999999999</c:v>
                </c:pt>
                <c:pt idx="14">
                  <c:v>7298.4269999999997</c:v>
                </c:pt>
                <c:pt idx="15">
                  <c:v>7552.3770000000004</c:v>
                </c:pt>
                <c:pt idx="16">
                  <c:v>7645.2359999999999</c:v>
                </c:pt>
                <c:pt idx="17">
                  <c:v>7608.3159999999998</c:v>
                </c:pt>
                <c:pt idx="18">
                  <c:v>7433.192</c:v>
                </c:pt>
                <c:pt idx="19">
                  <c:v>7362.6949999999997</c:v>
                </c:pt>
                <c:pt idx="20">
                  <c:v>7326.9449999999997</c:v>
                </c:pt>
                <c:pt idx="21">
                  <c:v>7458.2659999999996</c:v>
                </c:pt>
                <c:pt idx="22">
                  <c:v>7463.6750000000002</c:v>
                </c:pt>
                <c:pt idx="23">
                  <c:v>7517.5950000000003</c:v>
                </c:pt>
                <c:pt idx="24">
                  <c:v>7575.9549999999999</c:v>
                </c:pt>
                <c:pt idx="25">
                  <c:v>7692.1880000000001</c:v>
                </c:pt>
                <c:pt idx="26">
                  <c:v>7853.268</c:v>
                </c:pt>
                <c:pt idx="27">
                  <c:v>8024.7860000000001</c:v>
                </c:pt>
                <c:pt idx="28">
                  <c:v>8121.9570000000003</c:v>
                </c:pt>
                <c:pt idx="29">
                  <c:v>8048.1029999999992</c:v>
                </c:pt>
                <c:pt idx="30">
                  <c:v>8067.2279999999992</c:v>
                </c:pt>
                <c:pt idx="31">
                  <c:v>8173.1170000000002</c:v>
                </c:pt>
                <c:pt idx="32">
                  <c:v>8211.39</c:v>
                </c:pt>
                <c:pt idx="33">
                  <c:v>8308.2999999999993</c:v>
                </c:pt>
                <c:pt idx="34">
                  <c:v>8310.9390000000003</c:v>
                </c:pt>
                <c:pt idx="35">
                  <c:v>8142.2780000000012</c:v>
                </c:pt>
                <c:pt idx="36">
                  <c:v>8042</c:v>
                </c:pt>
                <c:pt idx="37">
                  <c:v>8181.9070000000002</c:v>
                </c:pt>
                <c:pt idx="38">
                  <c:v>8276.6560000000009</c:v>
                </c:pt>
                <c:pt idx="39">
                  <c:v>8243.0920000000006</c:v>
                </c:pt>
                <c:pt idx="40">
                  <c:v>8371.7289999999994</c:v>
                </c:pt>
                <c:pt idx="41">
                  <c:v>8498.2389999999996</c:v>
                </c:pt>
                <c:pt idx="42">
                  <c:v>8127.3510000000006</c:v>
                </c:pt>
                <c:pt idx="43">
                  <c:v>8291.0229999999992</c:v>
                </c:pt>
                <c:pt idx="44">
                  <c:v>8174.3619999999992</c:v>
                </c:pt>
                <c:pt idx="45">
                  <c:v>8110.6829999999991</c:v>
                </c:pt>
                <c:pt idx="46">
                  <c:v>8141</c:v>
                </c:pt>
                <c:pt idx="47">
                  <c:v>8024.8390000000009</c:v>
                </c:pt>
                <c:pt idx="48">
                  <c:v>7963.7079999999996</c:v>
                </c:pt>
                <c:pt idx="49">
                  <c:v>7958.1440000000011</c:v>
                </c:pt>
                <c:pt idx="50">
                  <c:v>8101.5170000000007</c:v>
                </c:pt>
                <c:pt idx="51">
                  <c:v>8223.107</c:v>
                </c:pt>
                <c:pt idx="52">
                  <c:v>8375.5319999999992</c:v>
                </c:pt>
                <c:pt idx="53">
                  <c:v>8328.0120000000006</c:v>
                </c:pt>
                <c:pt idx="54">
                  <c:v>8371</c:v>
                </c:pt>
                <c:pt idx="55">
                  <c:v>8391.9240000000009</c:v>
                </c:pt>
                <c:pt idx="56">
                  <c:v>8459</c:v>
                </c:pt>
                <c:pt idx="57">
                  <c:v>8436</c:v>
                </c:pt>
                <c:pt idx="58">
                  <c:v>8487</c:v>
                </c:pt>
                <c:pt idx="59">
                  <c:v>8283</c:v>
                </c:pt>
                <c:pt idx="60">
                  <c:v>8155</c:v>
                </c:pt>
                <c:pt idx="61">
                  <c:v>8222</c:v>
                </c:pt>
                <c:pt idx="62">
                  <c:v>7971</c:v>
                </c:pt>
                <c:pt idx="63">
                  <c:v>7871</c:v>
                </c:pt>
                <c:pt idx="64">
                  <c:v>7984</c:v>
                </c:pt>
                <c:pt idx="65">
                  <c:v>8445</c:v>
                </c:pt>
                <c:pt idx="66">
                  <c:v>8581</c:v>
                </c:pt>
                <c:pt idx="67">
                  <c:v>8727</c:v>
                </c:pt>
                <c:pt idx="68">
                  <c:v>8542</c:v>
                </c:pt>
                <c:pt idx="69">
                  <c:v>8324</c:v>
                </c:pt>
                <c:pt idx="70">
                  <c:v>7976</c:v>
                </c:pt>
                <c:pt idx="71">
                  <c:v>8036</c:v>
                </c:pt>
                <c:pt idx="72">
                  <c:v>7996</c:v>
                </c:pt>
                <c:pt idx="73">
                  <c:v>7855</c:v>
                </c:pt>
                <c:pt idx="74">
                  <c:v>7869</c:v>
                </c:pt>
                <c:pt idx="75">
                  <c:v>7952</c:v>
                </c:pt>
                <c:pt idx="76">
                  <c:v>8185</c:v>
                </c:pt>
                <c:pt idx="77">
                  <c:v>8311</c:v>
                </c:pt>
                <c:pt idx="78">
                  <c:v>8233</c:v>
                </c:pt>
                <c:pt idx="79">
                  <c:v>8241</c:v>
                </c:pt>
                <c:pt idx="80">
                  <c:v>8102</c:v>
                </c:pt>
                <c:pt idx="81">
                  <c:v>8183</c:v>
                </c:pt>
                <c:pt idx="82">
                  <c:v>8061</c:v>
                </c:pt>
                <c:pt idx="83">
                  <c:v>8133</c:v>
                </c:pt>
                <c:pt idx="84">
                  <c:v>8083</c:v>
                </c:pt>
                <c:pt idx="85">
                  <c:v>7982</c:v>
                </c:pt>
                <c:pt idx="86">
                  <c:v>8116</c:v>
                </c:pt>
                <c:pt idx="87">
                  <c:v>8198</c:v>
                </c:pt>
                <c:pt idx="88">
                  <c:v>8264</c:v>
                </c:pt>
                <c:pt idx="89">
                  <c:v>8083</c:v>
                </c:pt>
                <c:pt idx="90">
                  <c:v>8049</c:v>
                </c:pt>
                <c:pt idx="91">
                  <c:v>8155</c:v>
                </c:pt>
                <c:pt idx="92">
                  <c:v>8246</c:v>
                </c:pt>
                <c:pt idx="93">
                  <c:v>8180</c:v>
                </c:pt>
                <c:pt idx="94">
                  <c:v>8381</c:v>
                </c:pt>
                <c:pt idx="95">
                  <c:v>8518</c:v>
                </c:pt>
                <c:pt idx="96">
                  <c:v>8426</c:v>
                </c:pt>
                <c:pt idx="97">
                  <c:v>8486</c:v>
                </c:pt>
                <c:pt idx="98">
                  <c:v>8464</c:v>
                </c:pt>
                <c:pt idx="99">
                  <c:v>8821</c:v>
                </c:pt>
                <c:pt idx="100">
                  <c:v>8707</c:v>
                </c:pt>
                <c:pt idx="101">
                  <c:v>8627</c:v>
                </c:pt>
                <c:pt idx="102">
                  <c:v>8300</c:v>
                </c:pt>
                <c:pt idx="103">
                  <c:v>8382</c:v>
                </c:pt>
                <c:pt idx="104">
                  <c:v>8492</c:v>
                </c:pt>
                <c:pt idx="105">
                  <c:v>8427</c:v>
                </c:pt>
                <c:pt idx="106">
                  <c:v>8036</c:v>
                </c:pt>
                <c:pt idx="107">
                  <c:v>8161</c:v>
                </c:pt>
                <c:pt idx="108">
                  <c:v>8297</c:v>
                </c:pt>
                <c:pt idx="109">
                  <c:v>8155</c:v>
                </c:pt>
                <c:pt idx="110">
                  <c:v>8257</c:v>
                </c:pt>
                <c:pt idx="111">
                  <c:v>8062</c:v>
                </c:pt>
                <c:pt idx="112">
                  <c:v>8062</c:v>
                </c:pt>
                <c:pt idx="113">
                  <c:v>8243</c:v>
                </c:pt>
                <c:pt idx="114">
                  <c:v>8238</c:v>
                </c:pt>
                <c:pt idx="115">
                  <c:v>8036</c:v>
                </c:pt>
                <c:pt idx="116">
                  <c:v>8269</c:v>
                </c:pt>
                <c:pt idx="117">
                  <c:v>8376</c:v>
                </c:pt>
                <c:pt idx="118">
                  <c:v>8250</c:v>
                </c:pt>
                <c:pt idx="119">
                  <c:v>8142</c:v>
                </c:pt>
                <c:pt idx="120">
                  <c:v>8145</c:v>
                </c:pt>
                <c:pt idx="121">
                  <c:v>8298</c:v>
                </c:pt>
                <c:pt idx="122">
                  <c:v>8112</c:v>
                </c:pt>
                <c:pt idx="123">
                  <c:v>7734</c:v>
                </c:pt>
                <c:pt idx="124">
                  <c:v>7816</c:v>
                </c:pt>
                <c:pt idx="125">
                  <c:v>7726</c:v>
                </c:pt>
                <c:pt idx="126">
                  <c:v>7652</c:v>
                </c:pt>
                <c:pt idx="127">
                  <c:v>7668</c:v>
                </c:pt>
                <c:pt idx="128">
                  <c:v>7407</c:v>
                </c:pt>
                <c:pt idx="129">
                  <c:v>7446</c:v>
                </c:pt>
                <c:pt idx="130">
                  <c:v>7429</c:v>
                </c:pt>
                <c:pt idx="131">
                  <c:v>7466</c:v>
                </c:pt>
                <c:pt idx="132">
                  <c:v>7465</c:v>
                </c:pt>
                <c:pt idx="133">
                  <c:v>7465.1120000000001</c:v>
                </c:pt>
                <c:pt idx="134">
                  <c:v>7573.4340000000002</c:v>
                </c:pt>
                <c:pt idx="135">
                  <c:v>7685.973</c:v>
                </c:pt>
                <c:pt idx="136">
                  <c:v>7757.2659999999996</c:v>
                </c:pt>
                <c:pt idx="137">
                  <c:v>7718.6049999999996</c:v>
                </c:pt>
                <c:pt idx="138">
                  <c:v>7657</c:v>
                </c:pt>
                <c:pt idx="139">
                  <c:v>7771.0820000000003</c:v>
                </c:pt>
                <c:pt idx="140">
                  <c:v>7837.3469999999998</c:v>
                </c:pt>
                <c:pt idx="141">
                  <c:v>7885.9949999999999</c:v>
                </c:pt>
                <c:pt idx="142">
                  <c:v>7978.6559999999999</c:v>
                </c:pt>
                <c:pt idx="143">
                  <c:v>8090.6750000000002</c:v>
                </c:pt>
                <c:pt idx="144">
                  <c:v>8272.4279999999999</c:v>
                </c:pt>
                <c:pt idx="145">
                  <c:v>8365.2440000000006</c:v>
                </c:pt>
                <c:pt idx="146">
                  <c:v>8209.4660000000003</c:v>
                </c:pt>
                <c:pt idx="147">
                  <c:v>8172.2779999999993</c:v>
                </c:pt>
                <c:pt idx="148">
                  <c:v>8157.8919999999989</c:v>
                </c:pt>
                <c:pt idx="149">
                  <c:v>8244.6970000000001</c:v>
                </c:pt>
                <c:pt idx="150">
                  <c:v>8225.5169999999998</c:v>
                </c:pt>
                <c:pt idx="151">
                  <c:v>8093.3129999999992</c:v>
                </c:pt>
                <c:pt idx="152">
                  <c:v>8088.168999999999</c:v>
                </c:pt>
                <c:pt idx="153">
                  <c:v>8192.1275000000005</c:v>
                </c:pt>
                <c:pt idx="154">
                  <c:v>8398.5215000000007</c:v>
                </c:pt>
                <c:pt idx="155">
                  <c:v>8485.0295000000006</c:v>
                </c:pt>
                <c:pt idx="156">
                  <c:v>8496.9495000000006</c:v>
                </c:pt>
                <c:pt idx="157">
                  <c:v>8428.6574999999993</c:v>
                </c:pt>
                <c:pt idx="158">
                  <c:v>8365.3935000000001</c:v>
                </c:pt>
                <c:pt idx="159">
                  <c:v>8531.2194999999992</c:v>
                </c:pt>
                <c:pt idx="160">
                  <c:v>8683.2764999999999</c:v>
                </c:pt>
                <c:pt idx="161">
                  <c:v>8445.3775000000005</c:v>
                </c:pt>
                <c:pt idx="162">
                  <c:v>8365.1205000000009</c:v>
                </c:pt>
                <c:pt idx="163">
                  <c:v>8403.7294999999995</c:v>
                </c:pt>
                <c:pt idx="164">
                  <c:v>8533.4145000000008</c:v>
                </c:pt>
                <c:pt idx="165">
                  <c:v>8573.8155000000006</c:v>
                </c:pt>
                <c:pt idx="166">
                  <c:v>8472.5745000000006</c:v>
                </c:pt>
                <c:pt idx="167">
                  <c:v>7972.9889999999996</c:v>
                </c:pt>
                <c:pt idx="168">
                  <c:v>8181.4089999999997</c:v>
                </c:pt>
                <c:pt idx="169">
                  <c:v>8246.4279999999999</c:v>
                </c:pt>
                <c:pt idx="170">
                  <c:v>8013.4879999999994</c:v>
                </c:pt>
                <c:pt idx="171">
                  <c:v>8014.41</c:v>
                </c:pt>
                <c:pt idx="172">
                  <c:v>8099.2829999999994</c:v>
                </c:pt>
                <c:pt idx="173">
                  <c:v>8275.73</c:v>
                </c:pt>
                <c:pt idx="174">
                  <c:v>8350.4279999999999</c:v>
                </c:pt>
                <c:pt idx="175">
                  <c:v>8240.83</c:v>
                </c:pt>
                <c:pt idx="176">
                  <c:v>8144.52</c:v>
                </c:pt>
                <c:pt idx="177">
                  <c:v>7708.0379999999996</c:v>
                </c:pt>
                <c:pt idx="178">
                  <c:v>7884.7089999999998</c:v>
                </c:pt>
                <c:pt idx="179">
                  <c:v>7987.4650000000001</c:v>
                </c:pt>
                <c:pt idx="180">
                  <c:v>7893.3639999999996</c:v>
                </c:pt>
                <c:pt idx="181">
                  <c:v>7757.3649999999998</c:v>
                </c:pt>
                <c:pt idx="182">
                  <c:v>7837.9870000000001</c:v>
                </c:pt>
                <c:pt idx="183">
                  <c:v>7837.9870000000001</c:v>
                </c:pt>
                <c:pt idx="184">
                  <c:v>7773.2009999999991</c:v>
                </c:pt>
                <c:pt idx="185">
                  <c:v>7800.8119999999999</c:v>
                </c:pt>
                <c:pt idx="186">
                  <c:v>7569.75</c:v>
                </c:pt>
                <c:pt idx="187">
                  <c:v>7815.351999999999</c:v>
                </c:pt>
                <c:pt idx="188">
                  <c:v>7924.128999999999</c:v>
                </c:pt>
                <c:pt idx="189">
                  <c:v>7897.3259999999991</c:v>
                </c:pt>
                <c:pt idx="190">
                  <c:v>7617.3429999999989</c:v>
                </c:pt>
                <c:pt idx="191">
                  <c:v>7562.7889999999989</c:v>
                </c:pt>
                <c:pt idx="192">
                  <c:v>7484.3279999999995</c:v>
                </c:pt>
                <c:pt idx="193">
                  <c:v>7543.8119999999999</c:v>
                </c:pt>
                <c:pt idx="194">
                  <c:v>7543.8119999999999</c:v>
                </c:pt>
                <c:pt idx="195">
                  <c:v>7408.4105</c:v>
                </c:pt>
                <c:pt idx="196">
                  <c:v>7407.1124999999993</c:v>
                </c:pt>
                <c:pt idx="197">
                  <c:v>7311.628999999999</c:v>
                </c:pt>
                <c:pt idx="198">
                  <c:v>7518.6509999999998</c:v>
                </c:pt>
                <c:pt idx="199">
                  <c:v>7540.4660000000003</c:v>
                </c:pt>
                <c:pt idx="200">
                  <c:v>7465.2950000000001</c:v>
                </c:pt>
                <c:pt idx="201">
                  <c:v>7555.7150000000001</c:v>
                </c:pt>
                <c:pt idx="202">
                  <c:v>7704.2939999999999</c:v>
                </c:pt>
                <c:pt idx="203">
                  <c:v>7732.5059999999994</c:v>
                </c:pt>
                <c:pt idx="204">
                  <c:v>7776.6729999999989</c:v>
                </c:pt>
                <c:pt idx="205">
                  <c:v>7882.5649999999987</c:v>
                </c:pt>
                <c:pt idx="206">
                  <c:v>8029.2639999999992</c:v>
                </c:pt>
                <c:pt idx="207">
                  <c:v>8263.1560000000009</c:v>
                </c:pt>
                <c:pt idx="208">
                  <c:v>8277.3469999999998</c:v>
                </c:pt>
                <c:pt idx="209">
                  <c:v>8101.4499999999989</c:v>
                </c:pt>
                <c:pt idx="210">
                  <c:v>7661.9889999999996</c:v>
                </c:pt>
                <c:pt idx="211">
                  <c:v>7850.28</c:v>
                </c:pt>
                <c:pt idx="212">
                  <c:v>7831.2709999999997</c:v>
                </c:pt>
                <c:pt idx="213">
                  <c:v>7606.5640000000003</c:v>
                </c:pt>
                <c:pt idx="214">
                  <c:v>7328.4605000000001</c:v>
                </c:pt>
                <c:pt idx="215">
                  <c:v>7104.0195000000003</c:v>
                </c:pt>
                <c:pt idx="216">
                  <c:v>7212.4035000000003</c:v>
                </c:pt>
                <c:pt idx="217">
                  <c:v>7239.8355000000001</c:v>
                </c:pt>
                <c:pt idx="218">
                  <c:v>7025.5315000000001</c:v>
                </c:pt>
                <c:pt idx="219">
                  <c:v>6943.7494999999999</c:v>
                </c:pt>
                <c:pt idx="220">
                  <c:v>6943.7494999999999</c:v>
                </c:pt>
                <c:pt idx="221">
                  <c:v>6906.7134999999998</c:v>
                </c:pt>
                <c:pt idx="222">
                  <c:v>7281.8315000000002</c:v>
                </c:pt>
                <c:pt idx="223">
                  <c:v>7465.3114999999998</c:v>
                </c:pt>
                <c:pt idx="224">
                  <c:v>7602.0609999999997</c:v>
                </c:pt>
                <c:pt idx="225">
                  <c:v>7217.5259999999998</c:v>
                </c:pt>
                <c:pt idx="226">
                  <c:v>7705.4040000000005</c:v>
                </c:pt>
                <c:pt idx="227">
                  <c:v>7854.9</c:v>
                </c:pt>
                <c:pt idx="228">
                  <c:v>7618.5259999999998</c:v>
                </c:pt>
                <c:pt idx="229">
                  <c:v>7385.82</c:v>
                </c:pt>
                <c:pt idx="230">
                  <c:v>7642.8950000000004</c:v>
                </c:pt>
                <c:pt idx="231">
                  <c:v>7662.25</c:v>
                </c:pt>
                <c:pt idx="232">
                  <c:v>7529.326</c:v>
                </c:pt>
                <c:pt idx="233">
                  <c:v>7717.25</c:v>
                </c:pt>
                <c:pt idx="234">
                  <c:v>7202.3225000000002</c:v>
                </c:pt>
                <c:pt idx="235">
                  <c:v>7208.8630000000003</c:v>
                </c:pt>
                <c:pt idx="236">
                  <c:v>7261.2380000000003</c:v>
                </c:pt>
                <c:pt idx="237">
                  <c:v>7739.0360000000001</c:v>
                </c:pt>
                <c:pt idx="238">
                  <c:v>7771.9409999999998</c:v>
                </c:pt>
                <c:pt idx="239">
                  <c:v>7522.0910000000003</c:v>
                </c:pt>
                <c:pt idx="240">
                  <c:v>7747.2439999999997</c:v>
                </c:pt>
                <c:pt idx="241">
                  <c:v>7807.5339999999997</c:v>
                </c:pt>
                <c:pt idx="242">
                  <c:v>7870.683</c:v>
                </c:pt>
                <c:pt idx="243">
                  <c:v>7774.8680000000004</c:v>
                </c:pt>
                <c:pt idx="244">
                  <c:v>7953.1220000000003</c:v>
                </c:pt>
                <c:pt idx="245">
                  <c:v>7969.8850000000002</c:v>
                </c:pt>
                <c:pt idx="246">
                  <c:v>7650.8305</c:v>
                </c:pt>
                <c:pt idx="247">
                  <c:v>7673.4475000000002</c:v>
                </c:pt>
                <c:pt idx="248">
                  <c:v>7513.1944999999996</c:v>
                </c:pt>
                <c:pt idx="249">
                  <c:v>7676.0394999999999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E0-47FD-91FE-CE7FA4B1221C}"/>
            </c:ext>
          </c:extLst>
        </c:ser>
        <c:ser>
          <c:idx val="2"/>
          <c:order val="2"/>
          <c:tx>
            <c:strRef>
              <c:f>'WH Occu. trend Analysis'!$Q$599</c:f>
              <c:strCache>
                <c:ptCount val="1"/>
                <c:pt idx="0">
                  <c:v>Orugodawatta DC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'WH Occu. trend Analysis'!$N$600:$N$850</c:f>
              <c:strCache>
                <c:ptCount val="250"/>
                <c:pt idx="0">
                  <c:v>7/4/2022</c:v>
                </c:pt>
                <c:pt idx="1">
                  <c:v>7/5/2022</c:v>
                </c:pt>
                <c:pt idx="2">
                  <c:v>7/6/2022</c:v>
                </c:pt>
                <c:pt idx="3">
                  <c:v>7/7/2022</c:v>
                </c:pt>
                <c:pt idx="4">
                  <c:v>7/8/2022</c:v>
                </c:pt>
                <c:pt idx="5">
                  <c:v>7/11/2022</c:v>
                </c:pt>
                <c:pt idx="6">
                  <c:v>7/12/2022</c:v>
                </c:pt>
                <c:pt idx="7">
                  <c:v>7/14/2022</c:v>
                </c:pt>
                <c:pt idx="8">
                  <c:v>7/15/2022</c:v>
                </c:pt>
                <c:pt idx="9">
                  <c:v>7/18/2022</c:v>
                </c:pt>
                <c:pt idx="10">
                  <c:v>7/19/2022</c:v>
                </c:pt>
                <c:pt idx="11">
                  <c:v>7/20/2022</c:v>
                </c:pt>
                <c:pt idx="12">
                  <c:v>7/21/2022</c:v>
                </c:pt>
                <c:pt idx="13">
                  <c:v>7/22/2022</c:v>
                </c:pt>
                <c:pt idx="14">
                  <c:v>7/25/2022</c:v>
                </c:pt>
                <c:pt idx="15">
                  <c:v>7/26/2022</c:v>
                </c:pt>
                <c:pt idx="16">
                  <c:v>7/27/2022</c:v>
                </c:pt>
                <c:pt idx="17">
                  <c:v>7/28/2022</c:v>
                </c:pt>
                <c:pt idx="18">
                  <c:v>7/29/2022</c:v>
                </c:pt>
                <c:pt idx="19">
                  <c:v>8/1/2022</c:v>
                </c:pt>
                <c:pt idx="20">
                  <c:v>8/2/2022</c:v>
                </c:pt>
                <c:pt idx="21">
                  <c:v>8/3/2022</c:v>
                </c:pt>
                <c:pt idx="22">
                  <c:v>8/4/2022</c:v>
                </c:pt>
                <c:pt idx="23">
                  <c:v>8/5/2022</c:v>
                </c:pt>
                <c:pt idx="24">
                  <c:v>8/8/2022</c:v>
                </c:pt>
                <c:pt idx="25">
                  <c:v>8/9/2022</c:v>
                </c:pt>
                <c:pt idx="26">
                  <c:v>8/10/2022</c:v>
                </c:pt>
                <c:pt idx="27">
                  <c:v>8/15/2022</c:v>
                </c:pt>
                <c:pt idx="28">
                  <c:v>8/16/2022</c:v>
                </c:pt>
                <c:pt idx="29">
                  <c:v>8/17/2022</c:v>
                </c:pt>
                <c:pt idx="30">
                  <c:v>8/18/2022</c:v>
                </c:pt>
                <c:pt idx="31">
                  <c:v>8/19/2022</c:v>
                </c:pt>
                <c:pt idx="32">
                  <c:v>8/22/2022</c:v>
                </c:pt>
                <c:pt idx="33">
                  <c:v>8/23/2022</c:v>
                </c:pt>
                <c:pt idx="34">
                  <c:v>8/24/2022</c:v>
                </c:pt>
                <c:pt idx="35">
                  <c:v>8/25/2022</c:v>
                </c:pt>
                <c:pt idx="36">
                  <c:v>8/26/2022</c:v>
                </c:pt>
                <c:pt idx="37">
                  <c:v>8/29/2022</c:v>
                </c:pt>
                <c:pt idx="38">
                  <c:v>8/30/2022</c:v>
                </c:pt>
                <c:pt idx="39">
                  <c:v>8/31/2022</c:v>
                </c:pt>
                <c:pt idx="40">
                  <c:v>9/1/2022</c:v>
                </c:pt>
                <c:pt idx="41">
                  <c:v>9/2/2022</c:v>
                </c:pt>
                <c:pt idx="42">
                  <c:v>9/5/2022</c:v>
                </c:pt>
                <c:pt idx="43">
                  <c:v>9/6/2022</c:v>
                </c:pt>
                <c:pt idx="44">
                  <c:v>9/7/2022</c:v>
                </c:pt>
                <c:pt idx="45">
                  <c:v>9/9/2022</c:v>
                </c:pt>
                <c:pt idx="46">
                  <c:v>9/13/2022</c:v>
                </c:pt>
                <c:pt idx="47">
                  <c:v>9/14/2022</c:v>
                </c:pt>
                <c:pt idx="48">
                  <c:v>9/15/2022</c:v>
                </c:pt>
                <c:pt idx="49">
                  <c:v>9/16/2022</c:v>
                </c:pt>
                <c:pt idx="50">
                  <c:v>9/19/2022</c:v>
                </c:pt>
                <c:pt idx="51">
                  <c:v>9/20/2022</c:v>
                </c:pt>
                <c:pt idx="52">
                  <c:v>9/21/2022</c:v>
                </c:pt>
                <c:pt idx="53">
                  <c:v>9/22/2022</c:v>
                </c:pt>
                <c:pt idx="54">
                  <c:v>9/23/2022</c:v>
                </c:pt>
                <c:pt idx="55">
                  <c:v>9/26/2022</c:v>
                </c:pt>
                <c:pt idx="56">
                  <c:v>9/27/2022</c:v>
                </c:pt>
                <c:pt idx="57">
                  <c:v>9/28/2022</c:v>
                </c:pt>
                <c:pt idx="58">
                  <c:v>9/29/2022</c:v>
                </c:pt>
                <c:pt idx="59">
                  <c:v>9/30/2022</c:v>
                </c:pt>
                <c:pt idx="60">
                  <c:v>10/3/2022</c:v>
                </c:pt>
                <c:pt idx="61">
                  <c:v>10/4/2022</c:v>
                </c:pt>
                <c:pt idx="62">
                  <c:v>10/5/2022</c:v>
                </c:pt>
                <c:pt idx="63">
                  <c:v>10/6/2022</c:v>
                </c:pt>
                <c:pt idx="64">
                  <c:v>10/7/2022</c:v>
                </c:pt>
                <c:pt idx="65">
                  <c:v>10/10/2022</c:v>
                </c:pt>
                <c:pt idx="66">
                  <c:v>10/11/2022</c:v>
                </c:pt>
                <c:pt idx="67">
                  <c:v>10/12/2022</c:v>
                </c:pt>
                <c:pt idx="68">
                  <c:v>10/13/2022</c:v>
                </c:pt>
                <c:pt idx="69">
                  <c:v>10/14/2022</c:v>
                </c:pt>
                <c:pt idx="70">
                  <c:v>10/17/2022</c:v>
                </c:pt>
                <c:pt idx="71">
                  <c:v>10/18/2022</c:v>
                </c:pt>
                <c:pt idx="72">
                  <c:v>10/19/2022</c:v>
                </c:pt>
                <c:pt idx="73">
                  <c:v>10/20/2022</c:v>
                </c:pt>
                <c:pt idx="74">
                  <c:v>10/21/2022</c:v>
                </c:pt>
                <c:pt idx="75">
                  <c:v>10/24/2022</c:v>
                </c:pt>
                <c:pt idx="76">
                  <c:v>10/25/2022</c:v>
                </c:pt>
                <c:pt idx="77">
                  <c:v>10/26/2022</c:v>
                </c:pt>
                <c:pt idx="78">
                  <c:v>10/27/2022</c:v>
                </c:pt>
                <c:pt idx="79">
                  <c:v>10/28/2022</c:v>
                </c:pt>
                <c:pt idx="80">
                  <c:v>10/31/2022</c:v>
                </c:pt>
                <c:pt idx="81">
                  <c:v>11/1/2022</c:v>
                </c:pt>
                <c:pt idx="82">
                  <c:v>11/2/2022</c:v>
                </c:pt>
                <c:pt idx="83">
                  <c:v>11/3/2022</c:v>
                </c:pt>
                <c:pt idx="84">
                  <c:v>11/4/2022</c:v>
                </c:pt>
                <c:pt idx="85">
                  <c:v>11/8/2022</c:v>
                </c:pt>
                <c:pt idx="86">
                  <c:v>11/9/2022</c:v>
                </c:pt>
                <c:pt idx="87">
                  <c:v>11/10/2022</c:v>
                </c:pt>
                <c:pt idx="88">
                  <c:v>11/11/2022</c:v>
                </c:pt>
                <c:pt idx="89">
                  <c:v>11/15/2022</c:v>
                </c:pt>
                <c:pt idx="90">
                  <c:v>11/16/2022</c:v>
                </c:pt>
                <c:pt idx="91">
                  <c:v>11/17/2022</c:v>
                </c:pt>
                <c:pt idx="92">
                  <c:v>11/18/2022</c:v>
                </c:pt>
                <c:pt idx="93">
                  <c:v>11/21/2022</c:v>
                </c:pt>
                <c:pt idx="94">
                  <c:v>11/22/2022</c:v>
                </c:pt>
                <c:pt idx="95">
                  <c:v>11/23/2022</c:v>
                </c:pt>
                <c:pt idx="96">
                  <c:v>11/24/2022</c:v>
                </c:pt>
                <c:pt idx="97">
                  <c:v>11/25/2022</c:v>
                </c:pt>
                <c:pt idx="98">
                  <c:v>11/28/2022</c:v>
                </c:pt>
                <c:pt idx="99">
                  <c:v>11/30/2022</c:v>
                </c:pt>
                <c:pt idx="100">
                  <c:v>12/1/2022</c:v>
                </c:pt>
                <c:pt idx="101">
                  <c:v>12/2/2022</c:v>
                </c:pt>
                <c:pt idx="102">
                  <c:v>12/5/2022</c:v>
                </c:pt>
                <c:pt idx="103">
                  <c:v>12/6/2022</c:v>
                </c:pt>
                <c:pt idx="104">
                  <c:v>12/8/2022</c:v>
                </c:pt>
                <c:pt idx="105">
                  <c:v>12/9/2022</c:v>
                </c:pt>
                <c:pt idx="106">
                  <c:v>12/12/2022</c:v>
                </c:pt>
                <c:pt idx="107">
                  <c:v>12/13/2022</c:v>
                </c:pt>
                <c:pt idx="108">
                  <c:v>12/14/2022</c:v>
                </c:pt>
                <c:pt idx="109">
                  <c:v>12/15/2022</c:v>
                </c:pt>
                <c:pt idx="110">
                  <c:v>12/16/2022</c:v>
                </c:pt>
                <c:pt idx="111">
                  <c:v>12/19/2022</c:v>
                </c:pt>
                <c:pt idx="112">
                  <c:v>12/20/2022</c:v>
                </c:pt>
                <c:pt idx="113">
                  <c:v>12/22/2022</c:v>
                </c:pt>
                <c:pt idx="114">
                  <c:v>12/23/2022</c:v>
                </c:pt>
                <c:pt idx="115">
                  <c:v>12/27/2022</c:v>
                </c:pt>
                <c:pt idx="116">
                  <c:v>12/28/2022</c:v>
                </c:pt>
                <c:pt idx="117">
                  <c:v>12/29/2022</c:v>
                </c:pt>
                <c:pt idx="118">
                  <c:v>12/30/2022</c:v>
                </c:pt>
                <c:pt idx="119">
                  <c:v>1/2/2023</c:v>
                </c:pt>
                <c:pt idx="120">
                  <c:v>1/3/2023</c:v>
                </c:pt>
                <c:pt idx="121">
                  <c:v>1/4/2023</c:v>
                </c:pt>
                <c:pt idx="122">
                  <c:v>1/5/2023</c:v>
                </c:pt>
                <c:pt idx="123">
                  <c:v>1/9/2023</c:v>
                </c:pt>
                <c:pt idx="124">
                  <c:v>1/10/2023</c:v>
                </c:pt>
                <c:pt idx="125">
                  <c:v>1/11/2023</c:v>
                </c:pt>
                <c:pt idx="126">
                  <c:v>1/12/2023</c:v>
                </c:pt>
                <c:pt idx="127">
                  <c:v>1/13/2023</c:v>
                </c:pt>
                <c:pt idx="128">
                  <c:v>1/16/2023</c:v>
                </c:pt>
                <c:pt idx="129">
                  <c:v>1/17/2023</c:v>
                </c:pt>
                <c:pt idx="130">
                  <c:v>1/18/2023</c:v>
                </c:pt>
                <c:pt idx="131">
                  <c:v>1/19/2023</c:v>
                </c:pt>
                <c:pt idx="132">
                  <c:v>1/20/2023</c:v>
                </c:pt>
                <c:pt idx="133">
                  <c:v>1/23/2023</c:v>
                </c:pt>
                <c:pt idx="134">
                  <c:v>1/24/2023</c:v>
                </c:pt>
                <c:pt idx="135">
                  <c:v>1/25/2023</c:v>
                </c:pt>
                <c:pt idx="136">
                  <c:v>1/26/2023</c:v>
                </c:pt>
                <c:pt idx="137">
                  <c:v>1/27/2023</c:v>
                </c:pt>
                <c:pt idx="138">
                  <c:v>1/30/2023</c:v>
                </c:pt>
                <c:pt idx="139">
                  <c:v>1/31/2023</c:v>
                </c:pt>
                <c:pt idx="140">
                  <c:v>2/1/2023</c:v>
                </c:pt>
                <c:pt idx="141">
                  <c:v>2/2/2023</c:v>
                </c:pt>
                <c:pt idx="142">
                  <c:v>2/3/2023</c:v>
                </c:pt>
                <c:pt idx="143">
                  <c:v>2/6/2023</c:v>
                </c:pt>
                <c:pt idx="144">
                  <c:v>2/7/2023</c:v>
                </c:pt>
                <c:pt idx="145">
                  <c:v>2/8/2023</c:v>
                </c:pt>
                <c:pt idx="146">
                  <c:v>2/9/2023</c:v>
                </c:pt>
                <c:pt idx="147">
                  <c:v>2/10/2023</c:v>
                </c:pt>
                <c:pt idx="148">
                  <c:v>2/13/2023</c:v>
                </c:pt>
                <c:pt idx="149">
                  <c:v>2/14/2023</c:v>
                </c:pt>
                <c:pt idx="150">
                  <c:v>2/15/2023</c:v>
                </c:pt>
                <c:pt idx="151">
                  <c:v>2/16/2023</c:v>
                </c:pt>
                <c:pt idx="152">
                  <c:v>2/17/2023</c:v>
                </c:pt>
                <c:pt idx="153">
                  <c:v>2/20/2023</c:v>
                </c:pt>
                <c:pt idx="154">
                  <c:v>2/21/2023</c:v>
                </c:pt>
                <c:pt idx="155">
                  <c:v>2/22/2023</c:v>
                </c:pt>
                <c:pt idx="156">
                  <c:v>2/23/2023</c:v>
                </c:pt>
                <c:pt idx="157">
                  <c:v>2/24/2023</c:v>
                </c:pt>
                <c:pt idx="158">
                  <c:v>2/27/2023</c:v>
                </c:pt>
                <c:pt idx="159">
                  <c:v>2/28/2023</c:v>
                </c:pt>
                <c:pt idx="160">
                  <c:v>3/1/2023</c:v>
                </c:pt>
                <c:pt idx="161">
                  <c:v>3/2/2023</c:v>
                </c:pt>
                <c:pt idx="162">
                  <c:v>3/3/2023</c:v>
                </c:pt>
                <c:pt idx="163">
                  <c:v>3/7/2023</c:v>
                </c:pt>
                <c:pt idx="164">
                  <c:v>3/8/2023</c:v>
                </c:pt>
                <c:pt idx="165">
                  <c:v>3/9/2023</c:v>
                </c:pt>
                <c:pt idx="166">
                  <c:v>3/10/2023</c:v>
                </c:pt>
                <c:pt idx="167">
                  <c:v>3/13/2023</c:v>
                </c:pt>
                <c:pt idx="168">
                  <c:v>3/14/2023</c:v>
                </c:pt>
                <c:pt idx="169">
                  <c:v>3/15/2023</c:v>
                </c:pt>
                <c:pt idx="170">
                  <c:v>3/16/2023</c:v>
                </c:pt>
                <c:pt idx="171">
                  <c:v>3/17/2023</c:v>
                </c:pt>
                <c:pt idx="172">
                  <c:v>3/20/2023</c:v>
                </c:pt>
                <c:pt idx="173">
                  <c:v>3/21/2023</c:v>
                </c:pt>
                <c:pt idx="174">
                  <c:v>3/22/2023</c:v>
                </c:pt>
                <c:pt idx="175">
                  <c:v>3/23/2023</c:v>
                </c:pt>
                <c:pt idx="176">
                  <c:v>3/24/2023</c:v>
                </c:pt>
                <c:pt idx="177">
                  <c:v>3/27/2023</c:v>
                </c:pt>
                <c:pt idx="178">
                  <c:v>3/28/2023</c:v>
                </c:pt>
                <c:pt idx="179">
                  <c:v>3/29/2023</c:v>
                </c:pt>
                <c:pt idx="180">
                  <c:v>3/30/2023</c:v>
                </c:pt>
                <c:pt idx="181">
                  <c:v>3/31/2023</c:v>
                </c:pt>
                <c:pt idx="182">
                  <c:v>4/3/2023</c:v>
                </c:pt>
                <c:pt idx="183">
                  <c:v>4/4/2023</c:v>
                </c:pt>
                <c:pt idx="184">
                  <c:v>4/6/2023</c:v>
                </c:pt>
                <c:pt idx="185">
                  <c:v>4/7/2023</c:v>
                </c:pt>
                <c:pt idx="186">
                  <c:v>4/10/2023</c:v>
                </c:pt>
                <c:pt idx="187">
                  <c:v>4/17/2023</c:v>
                </c:pt>
                <c:pt idx="188">
                  <c:v>4/18/2023</c:v>
                </c:pt>
                <c:pt idx="189">
                  <c:v>4/19/2023</c:v>
                </c:pt>
                <c:pt idx="190">
                  <c:v>4/20/2023</c:v>
                </c:pt>
                <c:pt idx="191">
                  <c:v>4/21/2023</c:v>
                </c:pt>
                <c:pt idx="192">
                  <c:v>4/24/2023</c:v>
                </c:pt>
                <c:pt idx="193">
                  <c:v>4/25/2023</c:v>
                </c:pt>
                <c:pt idx="194">
                  <c:v>4/26/2023</c:v>
                </c:pt>
                <c:pt idx="195">
                  <c:v>4/27/2023</c:v>
                </c:pt>
                <c:pt idx="196">
                  <c:v>4/28/2023</c:v>
                </c:pt>
                <c:pt idx="197">
                  <c:v>5/2/2023</c:v>
                </c:pt>
                <c:pt idx="198">
                  <c:v>5/3/2023</c:v>
                </c:pt>
                <c:pt idx="199">
                  <c:v>5/4/2023</c:v>
                </c:pt>
                <c:pt idx="200">
                  <c:v>5/8/2023</c:v>
                </c:pt>
                <c:pt idx="201">
                  <c:v>5/9/2023</c:v>
                </c:pt>
                <c:pt idx="202">
                  <c:v>5/10/2023</c:v>
                </c:pt>
                <c:pt idx="203">
                  <c:v>5/11/2023</c:v>
                </c:pt>
                <c:pt idx="204">
                  <c:v>5/12/2023</c:v>
                </c:pt>
                <c:pt idx="205">
                  <c:v>5/15/2023</c:v>
                </c:pt>
                <c:pt idx="206">
                  <c:v>5/16/2023</c:v>
                </c:pt>
                <c:pt idx="207">
                  <c:v>5/17/2023</c:v>
                </c:pt>
                <c:pt idx="208">
                  <c:v>5/18/2023</c:v>
                </c:pt>
                <c:pt idx="209">
                  <c:v>5/19/2023</c:v>
                </c:pt>
                <c:pt idx="210">
                  <c:v>5/22/2023</c:v>
                </c:pt>
                <c:pt idx="211">
                  <c:v>5/23/2023</c:v>
                </c:pt>
                <c:pt idx="212">
                  <c:v>5/24/2023</c:v>
                </c:pt>
                <c:pt idx="213">
                  <c:v>5/25/2023</c:v>
                </c:pt>
                <c:pt idx="214">
                  <c:v>5/26/2023</c:v>
                </c:pt>
                <c:pt idx="215">
                  <c:v>5/29/2023</c:v>
                </c:pt>
                <c:pt idx="216">
                  <c:v>5/30/2023</c:v>
                </c:pt>
                <c:pt idx="217">
                  <c:v>5/31/2023</c:v>
                </c:pt>
                <c:pt idx="218">
                  <c:v>6/1/2023</c:v>
                </c:pt>
                <c:pt idx="219">
                  <c:v>6/2/2023</c:v>
                </c:pt>
                <c:pt idx="220">
                  <c:v>6/5/2023</c:v>
                </c:pt>
                <c:pt idx="221">
                  <c:v>6/6/2023</c:v>
                </c:pt>
                <c:pt idx="222">
                  <c:v>6/7/2023</c:v>
                </c:pt>
                <c:pt idx="223">
                  <c:v>6/8/2023</c:v>
                </c:pt>
                <c:pt idx="224">
                  <c:v>6/9/2023</c:v>
                </c:pt>
                <c:pt idx="225">
                  <c:v>6/12/2023</c:v>
                </c:pt>
                <c:pt idx="226">
                  <c:v>6/14/2023</c:v>
                </c:pt>
                <c:pt idx="227">
                  <c:v>6/15/2023</c:v>
                </c:pt>
                <c:pt idx="228">
                  <c:v>6/16/2023</c:v>
                </c:pt>
                <c:pt idx="229">
                  <c:v>6/19/2023</c:v>
                </c:pt>
                <c:pt idx="230">
                  <c:v>6/20/2023</c:v>
                </c:pt>
                <c:pt idx="231">
                  <c:v>6/21/2023</c:v>
                </c:pt>
                <c:pt idx="232">
                  <c:v>6/22/2023</c:v>
                </c:pt>
                <c:pt idx="233">
                  <c:v>6/23/2023</c:v>
                </c:pt>
                <c:pt idx="234">
                  <c:v>6/26/2023</c:v>
                </c:pt>
                <c:pt idx="235">
                  <c:v>6/27/2023</c:v>
                </c:pt>
                <c:pt idx="236">
                  <c:v>6/28/2023</c:v>
                </c:pt>
                <c:pt idx="237">
                  <c:v>6/29/2023</c:v>
                </c:pt>
                <c:pt idx="238">
                  <c:v>6/30/2023</c:v>
                </c:pt>
                <c:pt idx="239">
                  <c:v>7/4/2023</c:v>
                </c:pt>
                <c:pt idx="240">
                  <c:v>7/5/2023</c:v>
                </c:pt>
                <c:pt idx="241">
                  <c:v>7/6/2023</c:v>
                </c:pt>
                <c:pt idx="242">
                  <c:v>7/7/2023</c:v>
                </c:pt>
                <c:pt idx="243">
                  <c:v>7/10/2023</c:v>
                </c:pt>
                <c:pt idx="244">
                  <c:v>7/11/2023</c:v>
                </c:pt>
                <c:pt idx="245">
                  <c:v>7/12/2023</c:v>
                </c:pt>
                <c:pt idx="246">
                  <c:v>7/13/2023</c:v>
                </c:pt>
                <c:pt idx="247">
                  <c:v>7/14/2023</c:v>
                </c:pt>
                <c:pt idx="248">
                  <c:v>7/17/2023</c:v>
                </c:pt>
                <c:pt idx="249">
                  <c:v>7/21/2023</c:v>
                </c:pt>
              </c:strCache>
            </c:strRef>
          </c:cat>
          <c:val>
            <c:numRef>
              <c:f>'WH Occu. trend Analysis'!$Q$600:$Q$850</c:f>
              <c:numCache>
                <c:formatCode>General</c:formatCode>
                <c:ptCount val="250"/>
                <c:pt idx="0">
                  <c:v>7352.740490000002</c:v>
                </c:pt>
                <c:pt idx="1">
                  <c:v>7403.1691900000023</c:v>
                </c:pt>
                <c:pt idx="2">
                  <c:v>7626.3810900000017</c:v>
                </c:pt>
                <c:pt idx="3">
                  <c:v>7594.32935</c:v>
                </c:pt>
                <c:pt idx="4">
                  <c:v>7241.2570500000029</c:v>
                </c:pt>
                <c:pt idx="5">
                  <c:v>7594.32935</c:v>
                </c:pt>
                <c:pt idx="6">
                  <c:v>6565.5348500000009</c:v>
                </c:pt>
                <c:pt idx="7">
                  <c:v>6365.4121659999983</c:v>
                </c:pt>
                <c:pt idx="8">
                  <c:v>6268.7707659999996</c:v>
                </c:pt>
                <c:pt idx="9">
                  <c:v>6323.4500660000003</c:v>
                </c:pt>
                <c:pt idx="10">
                  <c:v>6323.4500660000022</c:v>
                </c:pt>
                <c:pt idx="11">
                  <c:v>6234.6795726000018</c:v>
                </c:pt>
                <c:pt idx="12">
                  <c:v>6217.5195726000011</c:v>
                </c:pt>
                <c:pt idx="13">
                  <c:v>6156.184855999998</c:v>
                </c:pt>
                <c:pt idx="14">
                  <c:v>6099.7400813000013</c:v>
                </c:pt>
                <c:pt idx="15">
                  <c:v>6099.1174759999994</c:v>
                </c:pt>
                <c:pt idx="16">
                  <c:v>6034.2606759999999</c:v>
                </c:pt>
                <c:pt idx="17">
                  <c:v>5872.2964880999998</c:v>
                </c:pt>
                <c:pt idx="18">
                  <c:v>5707.3804430000009</c:v>
                </c:pt>
                <c:pt idx="19">
                  <c:v>5864.8388430000005</c:v>
                </c:pt>
                <c:pt idx="20">
                  <c:v>5864.7408430000014</c:v>
                </c:pt>
                <c:pt idx="21">
                  <c:v>5824.4886447000008</c:v>
                </c:pt>
                <c:pt idx="22">
                  <c:v>5805.7190000000001</c:v>
                </c:pt>
                <c:pt idx="23">
                  <c:v>5149.6572099999994</c:v>
                </c:pt>
                <c:pt idx="24">
                  <c:v>5032.3258500000002</c:v>
                </c:pt>
                <c:pt idx="25">
                  <c:v>5030.2896500000006</c:v>
                </c:pt>
                <c:pt idx="26">
                  <c:v>5078.6867834000004</c:v>
                </c:pt>
                <c:pt idx="27">
                  <c:v>5014.6393320000006</c:v>
                </c:pt>
                <c:pt idx="28">
                  <c:v>4977.3452319999997</c:v>
                </c:pt>
                <c:pt idx="29">
                  <c:v>4992.9897820000006</c:v>
                </c:pt>
                <c:pt idx="30">
                  <c:v>5115.4573120000005</c:v>
                </c:pt>
                <c:pt idx="31">
                  <c:v>5388.6489619999993</c:v>
                </c:pt>
                <c:pt idx="32">
                  <c:v>5211.9663007000017</c:v>
                </c:pt>
                <c:pt idx="33">
                  <c:v>5296.247685600003</c:v>
                </c:pt>
                <c:pt idx="34">
                  <c:v>5404.7697203999996</c:v>
                </c:pt>
                <c:pt idx="35">
                  <c:v>5277.085320000002</c:v>
                </c:pt>
                <c:pt idx="36">
                  <c:v>5273</c:v>
                </c:pt>
                <c:pt idx="37">
                  <c:v>4879.8115200000011</c:v>
                </c:pt>
                <c:pt idx="38">
                  <c:v>4746.0012200000001</c:v>
                </c:pt>
                <c:pt idx="39">
                  <c:v>4592.6444605999986</c:v>
                </c:pt>
                <c:pt idx="40">
                  <c:v>4374.8565859999999</c:v>
                </c:pt>
                <c:pt idx="41">
                  <c:v>4425.4127860000008</c:v>
                </c:pt>
                <c:pt idx="42">
                  <c:v>4091.8415859999991</c:v>
                </c:pt>
                <c:pt idx="43">
                  <c:v>4197.1976859999995</c:v>
                </c:pt>
                <c:pt idx="44">
                  <c:v>4302.846286</c:v>
                </c:pt>
                <c:pt idx="45">
                  <c:v>4438.7220420000003</c:v>
                </c:pt>
                <c:pt idx="46">
                  <c:v>4513</c:v>
                </c:pt>
                <c:pt idx="47">
                  <c:v>4333.971841999999</c:v>
                </c:pt>
                <c:pt idx="48">
                  <c:v>3999.5900419999998</c:v>
                </c:pt>
                <c:pt idx="49">
                  <c:v>4356.9572419999986</c:v>
                </c:pt>
                <c:pt idx="50">
                  <c:v>4408.7908420000003</c:v>
                </c:pt>
                <c:pt idx="51">
                  <c:v>4281.9641419999989</c:v>
                </c:pt>
                <c:pt idx="52">
                  <c:v>4429.664342</c:v>
                </c:pt>
                <c:pt idx="53">
                  <c:v>4369.3295420000004</c:v>
                </c:pt>
                <c:pt idx="54">
                  <c:v>4710</c:v>
                </c:pt>
                <c:pt idx="55">
                  <c:v>4435.6407419999996</c:v>
                </c:pt>
                <c:pt idx="56">
                  <c:v>4361</c:v>
                </c:pt>
                <c:pt idx="57">
                  <c:v>4358</c:v>
                </c:pt>
                <c:pt idx="58">
                  <c:v>4558</c:v>
                </c:pt>
                <c:pt idx="59">
                  <c:v>4948</c:v>
                </c:pt>
                <c:pt idx="60">
                  <c:v>4659</c:v>
                </c:pt>
                <c:pt idx="61">
                  <c:v>4837.7183473000014</c:v>
                </c:pt>
                <c:pt idx="62">
                  <c:v>4730</c:v>
                </c:pt>
                <c:pt idx="63">
                  <c:v>4879</c:v>
                </c:pt>
                <c:pt idx="64">
                  <c:v>4971</c:v>
                </c:pt>
                <c:pt idx="65">
                  <c:v>4853</c:v>
                </c:pt>
                <c:pt idx="66">
                  <c:v>4913</c:v>
                </c:pt>
                <c:pt idx="67">
                  <c:v>4783</c:v>
                </c:pt>
                <c:pt idx="68">
                  <c:v>4898</c:v>
                </c:pt>
                <c:pt idx="69">
                  <c:v>4893</c:v>
                </c:pt>
                <c:pt idx="70">
                  <c:v>4806</c:v>
                </c:pt>
                <c:pt idx="71">
                  <c:v>4726</c:v>
                </c:pt>
                <c:pt idx="72">
                  <c:v>4600</c:v>
                </c:pt>
                <c:pt idx="73">
                  <c:v>4613</c:v>
                </c:pt>
                <c:pt idx="74">
                  <c:v>4811</c:v>
                </c:pt>
                <c:pt idx="75">
                  <c:v>4850</c:v>
                </c:pt>
                <c:pt idx="76">
                  <c:v>4920</c:v>
                </c:pt>
                <c:pt idx="77">
                  <c:v>5217</c:v>
                </c:pt>
                <c:pt idx="78">
                  <c:v>5299</c:v>
                </c:pt>
                <c:pt idx="79">
                  <c:v>5574</c:v>
                </c:pt>
                <c:pt idx="80">
                  <c:v>5717</c:v>
                </c:pt>
                <c:pt idx="81">
                  <c:v>5800</c:v>
                </c:pt>
                <c:pt idx="82">
                  <c:v>5672</c:v>
                </c:pt>
                <c:pt idx="83">
                  <c:v>5633</c:v>
                </c:pt>
                <c:pt idx="84">
                  <c:v>5876</c:v>
                </c:pt>
                <c:pt idx="85">
                  <c:v>5767</c:v>
                </c:pt>
                <c:pt idx="86">
                  <c:v>5641</c:v>
                </c:pt>
                <c:pt idx="87">
                  <c:v>5331</c:v>
                </c:pt>
                <c:pt idx="88">
                  <c:v>5232</c:v>
                </c:pt>
                <c:pt idx="89">
                  <c:v>5495</c:v>
                </c:pt>
                <c:pt idx="90">
                  <c:v>5482</c:v>
                </c:pt>
                <c:pt idx="91">
                  <c:v>5456</c:v>
                </c:pt>
                <c:pt idx="92">
                  <c:v>5502</c:v>
                </c:pt>
                <c:pt idx="93">
                  <c:v>5614</c:v>
                </c:pt>
                <c:pt idx="94">
                  <c:v>5504</c:v>
                </c:pt>
                <c:pt idx="95">
                  <c:v>5524</c:v>
                </c:pt>
                <c:pt idx="96">
                  <c:v>5541</c:v>
                </c:pt>
                <c:pt idx="97">
                  <c:v>5420</c:v>
                </c:pt>
                <c:pt idx="98">
                  <c:v>5502</c:v>
                </c:pt>
                <c:pt idx="99">
                  <c:v>5411</c:v>
                </c:pt>
                <c:pt idx="100">
                  <c:v>5388</c:v>
                </c:pt>
                <c:pt idx="101">
                  <c:v>5512</c:v>
                </c:pt>
                <c:pt idx="102">
                  <c:v>5396</c:v>
                </c:pt>
                <c:pt idx="103">
                  <c:v>5357</c:v>
                </c:pt>
                <c:pt idx="104">
                  <c:v>5278</c:v>
                </c:pt>
                <c:pt idx="105">
                  <c:v>5114</c:v>
                </c:pt>
                <c:pt idx="106">
                  <c:v>5108</c:v>
                </c:pt>
                <c:pt idx="107">
                  <c:v>4863</c:v>
                </c:pt>
                <c:pt idx="108">
                  <c:v>5028</c:v>
                </c:pt>
                <c:pt idx="109">
                  <c:v>4961</c:v>
                </c:pt>
                <c:pt idx="110">
                  <c:v>5223</c:v>
                </c:pt>
                <c:pt idx="111">
                  <c:v>4840</c:v>
                </c:pt>
                <c:pt idx="112">
                  <c:v>4643</c:v>
                </c:pt>
                <c:pt idx="113">
                  <c:v>4123</c:v>
                </c:pt>
                <c:pt idx="114">
                  <c:v>4120</c:v>
                </c:pt>
                <c:pt idx="115">
                  <c:v>4380</c:v>
                </c:pt>
                <c:pt idx="116">
                  <c:v>4371</c:v>
                </c:pt>
                <c:pt idx="117">
                  <c:v>4355</c:v>
                </c:pt>
                <c:pt idx="118">
                  <c:v>4420</c:v>
                </c:pt>
                <c:pt idx="119">
                  <c:v>4703</c:v>
                </c:pt>
                <c:pt idx="120">
                  <c:v>4454</c:v>
                </c:pt>
                <c:pt idx="121">
                  <c:v>4569</c:v>
                </c:pt>
                <c:pt idx="122">
                  <c:v>4630</c:v>
                </c:pt>
                <c:pt idx="123">
                  <c:v>4557</c:v>
                </c:pt>
                <c:pt idx="124">
                  <c:v>4649</c:v>
                </c:pt>
                <c:pt idx="125">
                  <c:v>4767</c:v>
                </c:pt>
                <c:pt idx="126">
                  <c:v>4811</c:v>
                </c:pt>
                <c:pt idx="127">
                  <c:v>4969</c:v>
                </c:pt>
                <c:pt idx="128">
                  <c:v>5066</c:v>
                </c:pt>
                <c:pt idx="129">
                  <c:v>4903</c:v>
                </c:pt>
                <c:pt idx="130">
                  <c:v>5022</c:v>
                </c:pt>
                <c:pt idx="131">
                  <c:v>5070</c:v>
                </c:pt>
                <c:pt idx="132">
                  <c:v>5301</c:v>
                </c:pt>
                <c:pt idx="133">
                  <c:v>5256.8794204000005</c:v>
                </c:pt>
                <c:pt idx="134">
                  <c:v>5280.8305960999996</c:v>
                </c:pt>
                <c:pt idx="135">
                  <c:v>5201.7446185000008</c:v>
                </c:pt>
                <c:pt idx="136">
                  <c:v>5327.4541551999991</c:v>
                </c:pt>
                <c:pt idx="137">
                  <c:v>5449.8080652999997</c:v>
                </c:pt>
                <c:pt idx="138">
                  <c:v>5333.2075985999982</c:v>
                </c:pt>
                <c:pt idx="139">
                  <c:v>5466.7061229999999</c:v>
                </c:pt>
                <c:pt idx="140">
                  <c:v>5308.6689111999995</c:v>
                </c:pt>
                <c:pt idx="141">
                  <c:v>4966.5306230000006</c:v>
                </c:pt>
                <c:pt idx="142">
                  <c:v>5155.1202229999999</c:v>
                </c:pt>
                <c:pt idx="143">
                  <c:v>4822.1186669999988</c:v>
                </c:pt>
                <c:pt idx="144">
                  <c:v>4762.5360169999985</c:v>
                </c:pt>
                <c:pt idx="145">
                  <c:v>4828.640786599999</c:v>
                </c:pt>
                <c:pt idx="146">
                  <c:v>4723.9265720000003</c:v>
                </c:pt>
                <c:pt idx="147">
                  <c:v>4581.0796469999987</c:v>
                </c:pt>
                <c:pt idx="148">
                  <c:v>4173.080481</c:v>
                </c:pt>
                <c:pt idx="149">
                  <c:v>4238.9759080000003</c:v>
                </c:pt>
                <c:pt idx="150">
                  <c:v>4355.0633542999994</c:v>
                </c:pt>
                <c:pt idx="151">
                  <c:v>4203.6958485999994</c:v>
                </c:pt>
                <c:pt idx="152">
                  <c:v>4231.8853079999999</c:v>
                </c:pt>
                <c:pt idx="153">
                  <c:v>4126.6613084000001</c:v>
                </c:pt>
                <c:pt idx="154">
                  <c:v>4112.1971629999998</c:v>
                </c:pt>
                <c:pt idx="155">
                  <c:v>4321.2955867999999</c:v>
                </c:pt>
                <c:pt idx="156">
                  <c:v>4093.0649214999989</c:v>
                </c:pt>
                <c:pt idx="157">
                  <c:v>4089.4628528999997</c:v>
                </c:pt>
                <c:pt idx="158">
                  <c:v>3933.9993596000004</c:v>
                </c:pt>
                <c:pt idx="159">
                  <c:v>3951.727766</c:v>
                </c:pt>
                <c:pt idx="160">
                  <c:v>4181.1739659999994</c:v>
                </c:pt>
                <c:pt idx="161">
                  <c:v>3903.7934819999996</c:v>
                </c:pt>
                <c:pt idx="162">
                  <c:v>3938.1704818000003</c:v>
                </c:pt>
                <c:pt idx="163">
                  <c:v>4017.5844820000002</c:v>
                </c:pt>
                <c:pt idx="164">
                  <c:v>4140.3689820000009</c:v>
                </c:pt>
                <c:pt idx="165">
                  <c:v>4007.4996350000001</c:v>
                </c:pt>
                <c:pt idx="166">
                  <c:v>4006.8656349999997</c:v>
                </c:pt>
                <c:pt idx="167">
                  <c:v>4089.5314850000009</c:v>
                </c:pt>
                <c:pt idx="168">
                  <c:v>4099.9298849999996</c:v>
                </c:pt>
                <c:pt idx="169">
                  <c:v>4220.4547476000007</c:v>
                </c:pt>
                <c:pt idx="170">
                  <c:v>4019.0063139999997</c:v>
                </c:pt>
                <c:pt idx="171">
                  <c:v>3987.1319210000006</c:v>
                </c:pt>
                <c:pt idx="172">
                  <c:v>3975.8807443000005</c:v>
                </c:pt>
                <c:pt idx="173">
                  <c:v>4020.6706881999999</c:v>
                </c:pt>
                <c:pt idx="174">
                  <c:v>4158.7615381999994</c:v>
                </c:pt>
                <c:pt idx="175">
                  <c:v>3987.3721284000017</c:v>
                </c:pt>
                <c:pt idx="176">
                  <c:v>3958.4622493999996</c:v>
                </c:pt>
                <c:pt idx="177">
                  <c:v>4062.9174360000006</c:v>
                </c:pt>
                <c:pt idx="178">
                  <c:v>4074.0306492999998</c:v>
                </c:pt>
                <c:pt idx="179">
                  <c:v>4107.382171000002</c:v>
                </c:pt>
                <c:pt idx="180">
                  <c:v>4093.3575410000017</c:v>
                </c:pt>
                <c:pt idx="181">
                  <c:v>4172.5855410000013</c:v>
                </c:pt>
                <c:pt idx="182">
                  <c:v>4002.2956410000006</c:v>
                </c:pt>
                <c:pt idx="183">
                  <c:v>4002.2956410000006</c:v>
                </c:pt>
                <c:pt idx="184">
                  <c:v>4042.6023468000008</c:v>
                </c:pt>
                <c:pt idx="185">
                  <c:v>4110.7233513000001</c:v>
                </c:pt>
                <c:pt idx="186">
                  <c:v>4187.5847513000017</c:v>
                </c:pt>
                <c:pt idx="187">
                  <c:v>4205.9700512999989</c:v>
                </c:pt>
                <c:pt idx="188">
                  <c:v>4126.9134513000008</c:v>
                </c:pt>
                <c:pt idx="189">
                  <c:v>4161.4706377000011</c:v>
                </c:pt>
                <c:pt idx="190">
                  <c:v>3984.0050302000004</c:v>
                </c:pt>
                <c:pt idx="191">
                  <c:v>4133.7889562</c:v>
                </c:pt>
                <c:pt idx="192">
                  <c:v>3923.1901405000003</c:v>
                </c:pt>
                <c:pt idx="193">
                  <c:v>3935.6921136000005</c:v>
                </c:pt>
                <c:pt idx="194">
                  <c:v>3935.6921136000005</c:v>
                </c:pt>
                <c:pt idx="195">
                  <c:v>3795.5908441000006</c:v>
                </c:pt>
                <c:pt idx="196">
                  <c:v>3794.1599591000008</c:v>
                </c:pt>
                <c:pt idx="197">
                  <c:v>3865.5011449999993</c:v>
                </c:pt>
                <c:pt idx="198">
                  <c:v>3959.0688449999998</c:v>
                </c:pt>
                <c:pt idx="199">
                  <c:v>3791.2885449999999</c:v>
                </c:pt>
                <c:pt idx="200">
                  <c:v>3724.4400046999999</c:v>
                </c:pt>
                <c:pt idx="201">
                  <c:v>3710.0971311000008</c:v>
                </c:pt>
                <c:pt idx="202">
                  <c:v>3550.3507739999991</c:v>
                </c:pt>
                <c:pt idx="203">
                  <c:v>3423.1544740000004</c:v>
                </c:pt>
                <c:pt idx="204">
                  <c:v>3433.9772050000001</c:v>
                </c:pt>
                <c:pt idx="205">
                  <c:v>3518.4473050000011</c:v>
                </c:pt>
                <c:pt idx="206">
                  <c:v>3598.4904050000005</c:v>
                </c:pt>
                <c:pt idx="207">
                  <c:v>3765.2322933000014</c:v>
                </c:pt>
                <c:pt idx="208">
                  <c:v>3684.1935998000013</c:v>
                </c:pt>
                <c:pt idx="209">
                  <c:v>3661.703115400001</c:v>
                </c:pt>
                <c:pt idx="210">
                  <c:v>3720.9744361000003</c:v>
                </c:pt>
                <c:pt idx="211">
                  <c:v>3698.6580483000012</c:v>
                </c:pt>
                <c:pt idx="212">
                  <c:v>3846.7272338000012</c:v>
                </c:pt>
                <c:pt idx="213">
                  <c:v>3693.9073529999996</c:v>
                </c:pt>
                <c:pt idx="214">
                  <c:v>3719.7162134</c:v>
                </c:pt>
                <c:pt idx="215">
                  <c:v>3884.3313253000006</c:v>
                </c:pt>
                <c:pt idx="216">
                  <c:v>3888.8244915000005</c:v>
                </c:pt>
                <c:pt idx="217">
                  <c:v>3997.9878750000003</c:v>
                </c:pt>
                <c:pt idx="218">
                  <c:v>3895.5321749999998</c:v>
                </c:pt>
                <c:pt idx="219">
                  <c:v>3975.5734749999992</c:v>
                </c:pt>
                <c:pt idx="220">
                  <c:v>3975.5734749999992</c:v>
                </c:pt>
                <c:pt idx="221">
                  <c:v>3994.4202749999999</c:v>
                </c:pt>
                <c:pt idx="222">
                  <c:v>4096.6214668999992</c:v>
                </c:pt>
                <c:pt idx="223">
                  <c:v>3937.8281250000005</c:v>
                </c:pt>
                <c:pt idx="224">
                  <c:v>4084.944625000001</c:v>
                </c:pt>
                <c:pt idx="225">
                  <c:v>4163.0326249999998</c:v>
                </c:pt>
                <c:pt idx="226">
                  <c:v>4341.8032690000009</c:v>
                </c:pt>
                <c:pt idx="227">
                  <c:v>4184.0102690000003</c:v>
                </c:pt>
                <c:pt idx="228">
                  <c:v>4345.821418999999</c:v>
                </c:pt>
                <c:pt idx="229">
                  <c:v>4446.2487190000002</c:v>
                </c:pt>
                <c:pt idx="230">
                  <c:v>4383.7953324999999</c:v>
                </c:pt>
                <c:pt idx="231">
                  <c:v>4267.6793833999991</c:v>
                </c:pt>
                <c:pt idx="232">
                  <c:v>4117.4874200000004</c:v>
                </c:pt>
                <c:pt idx="233">
                  <c:v>4235.566108</c:v>
                </c:pt>
                <c:pt idx="234">
                  <c:v>4213.4237207999995</c:v>
                </c:pt>
                <c:pt idx="235">
                  <c:v>4249.0075051999993</c:v>
                </c:pt>
                <c:pt idx="236">
                  <c:v>4195.8921829999999</c:v>
                </c:pt>
                <c:pt idx="237">
                  <c:v>4248.9999853000008</c:v>
                </c:pt>
                <c:pt idx="238">
                  <c:v>4307.2507859999996</c:v>
                </c:pt>
                <c:pt idx="239">
                  <c:v>4354.7991860000011</c:v>
                </c:pt>
                <c:pt idx="240">
                  <c:v>4328.3594119999998</c:v>
                </c:pt>
                <c:pt idx="241">
                  <c:v>4257.5937119999999</c:v>
                </c:pt>
                <c:pt idx="242">
                  <c:v>4203.0130688999989</c:v>
                </c:pt>
                <c:pt idx="243">
                  <c:v>4300.9528040000005</c:v>
                </c:pt>
                <c:pt idx="244">
                  <c:v>4397.7037980000005</c:v>
                </c:pt>
                <c:pt idx="245">
                  <c:v>4522.5832387999981</c:v>
                </c:pt>
                <c:pt idx="246">
                  <c:v>4340.7838120000006</c:v>
                </c:pt>
                <c:pt idx="247">
                  <c:v>4399.0575440000002</c:v>
                </c:pt>
                <c:pt idx="248">
                  <c:v>4515.154005100002</c:v>
                </c:pt>
                <c:pt idx="249">
                  <c:v>4837.7183473000014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E0-47FD-91FE-CE7FA4B1221C}"/>
            </c:ext>
          </c:extLst>
        </c:ser>
        <c:ser>
          <c:idx val="3"/>
          <c:order val="3"/>
          <c:tx>
            <c:strRef>
              <c:f>'WH Occu. trend Analysis'!$R$599</c:f>
              <c:strCache>
                <c:ptCount val="1"/>
                <c:pt idx="0">
                  <c:v>Peliyagoda DC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'WH Occu. trend Analysis'!$N$600:$N$850</c:f>
              <c:strCache>
                <c:ptCount val="250"/>
                <c:pt idx="0">
                  <c:v>7/4/2022</c:v>
                </c:pt>
                <c:pt idx="1">
                  <c:v>7/5/2022</c:v>
                </c:pt>
                <c:pt idx="2">
                  <c:v>7/6/2022</c:v>
                </c:pt>
                <c:pt idx="3">
                  <c:v>7/7/2022</c:v>
                </c:pt>
                <c:pt idx="4">
                  <c:v>7/8/2022</c:v>
                </c:pt>
                <c:pt idx="5">
                  <c:v>7/11/2022</c:v>
                </c:pt>
                <c:pt idx="6">
                  <c:v>7/12/2022</c:v>
                </c:pt>
                <c:pt idx="7">
                  <c:v>7/14/2022</c:v>
                </c:pt>
                <c:pt idx="8">
                  <c:v>7/15/2022</c:v>
                </c:pt>
                <c:pt idx="9">
                  <c:v>7/18/2022</c:v>
                </c:pt>
                <c:pt idx="10">
                  <c:v>7/19/2022</c:v>
                </c:pt>
                <c:pt idx="11">
                  <c:v>7/20/2022</c:v>
                </c:pt>
                <c:pt idx="12">
                  <c:v>7/21/2022</c:v>
                </c:pt>
                <c:pt idx="13">
                  <c:v>7/22/2022</c:v>
                </c:pt>
                <c:pt idx="14">
                  <c:v>7/25/2022</c:v>
                </c:pt>
                <c:pt idx="15">
                  <c:v>7/26/2022</c:v>
                </c:pt>
                <c:pt idx="16">
                  <c:v>7/27/2022</c:v>
                </c:pt>
                <c:pt idx="17">
                  <c:v>7/28/2022</c:v>
                </c:pt>
                <c:pt idx="18">
                  <c:v>7/29/2022</c:v>
                </c:pt>
                <c:pt idx="19">
                  <c:v>8/1/2022</c:v>
                </c:pt>
                <c:pt idx="20">
                  <c:v>8/2/2022</c:v>
                </c:pt>
                <c:pt idx="21">
                  <c:v>8/3/2022</c:v>
                </c:pt>
                <c:pt idx="22">
                  <c:v>8/4/2022</c:v>
                </c:pt>
                <c:pt idx="23">
                  <c:v>8/5/2022</c:v>
                </c:pt>
                <c:pt idx="24">
                  <c:v>8/8/2022</c:v>
                </c:pt>
                <c:pt idx="25">
                  <c:v>8/9/2022</c:v>
                </c:pt>
                <c:pt idx="26">
                  <c:v>8/10/2022</c:v>
                </c:pt>
                <c:pt idx="27">
                  <c:v>8/15/2022</c:v>
                </c:pt>
                <c:pt idx="28">
                  <c:v>8/16/2022</c:v>
                </c:pt>
                <c:pt idx="29">
                  <c:v>8/17/2022</c:v>
                </c:pt>
                <c:pt idx="30">
                  <c:v>8/18/2022</c:v>
                </c:pt>
                <c:pt idx="31">
                  <c:v>8/19/2022</c:v>
                </c:pt>
                <c:pt idx="32">
                  <c:v>8/22/2022</c:v>
                </c:pt>
                <c:pt idx="33">
                  <c:v>8/23/2022</c:v>
                </c:pt>
                <c:pt idx="34">
                  <c:v>8/24/2022</c:v>
                </c:pt>
                <c:pt idx="35">
                  <c:v>8/25/2022</c:v>
                </c:pt>
                <c:pt idx="36">
                  <c:v>8/26/2022</c:v>
                </c:pt>
                <c:pt idx="37">
                  <c:v>8/29/2022</c:v>
                </c:pt>
                <c:pt idx="38">
                  <c:v>8/30/2022</c:v>
                </c:pt>
                <c:pt idx="39">
                  <c:v>8/31/2022</c:v>
                </c:pt>
                <c:pt idx="40">
                  <c:v>9/1/2022</c:v>
                </c:pt>
                <c:pt idx="41">
                  <c:v>9/2/2022</c:v>
                </c:pt>
                <c:pt idx="42">
                  <c:v>9/5/2022</c:v>
                </c:pt>
                <c:pt idx="43">
                  <c:v>9/6/2022</c:v>
                </c:pt>
                <c:pt idx="44">
                  <c:v>9/7/2022</c:v>
                </c:pt>
                <c:pt idx="45">
                  <c:v>9/9/2022</c:v>
                </c:pt>
                <c:pt idx="46">
                  <c:v>9/13/2022</c:v>
                </c:pt>
                <c:pt idx="47">
                  <c:v>9/14/2022</c:v>
                </c:pt>
                <c:pt idx="48">
                  <c:v>9/15/2022</c:v>
                </c:pt>
                <c:pt idx="49">
                  <c:v>9/16/2022</c:v>
                </c:pt>
                <c:pt idx="50">
                  <c:v>9/19/2022</c:v>
                </c:pt>
                <c:pt idx="51">
                  <c:v>9/20/2022</c:v>
                </c:pt>
                <c:pt idx="52">
                  <c:v>9/21/2022</c:v>
                </c:pt>
                <c:pt idx="53">
                  <c:v>9/22/2022</c:v>
                </c:pt>
                <c:pt idx="54">
                  <c:v>9/23/2022</c:v>
                </c:pt>
                <c:pt idx="55">
                  <c:v>9/26/2022</c:v>
                </c:pt>
                <c:pt idx="56">
                  <c:v>9/27/2022</c:v>
                </c:pt>
                <c:pt idx="57">
                  <c:v>9/28/2022</c:v>
                </c:pt>
                <c:pt idx="58">
                  <c:v>9/29/2022</c:v>
                </c:pt>
                <c:pt idx="59">
                  <c:v>9/30/2022</c:v>
                </c:pt>
                <c:pt idx="60">
                  <c:v>10/3/2022</c:v>
                </c:pt>
                <c:pt idx="61">
                  <c:v>10/4/2022</c:v>
                </c:pt>
                <c:pt idx="62">
                  <c:v>10/5/2022</c:v>
                </c:pt>
                <c:pt idx="63">
                  <c:v>10/6/2022</c:v>
                </c:pt>
                <c:pt idx="64">
                  <c:v>10/7/2022</c:v>
                </c:pt>
                <c:pt idx="65">
                  <c:v>10/10/2022</c:v>
                </c:pt>
                <c:pt idx="66">
                  <c:v>10/11/2022</c:v>
                </c:pt>
                <c:pt idx="67">
                  <c:v>10/12/2022</c:v>
                </c:pt>
                <c:pt idx="68">
                  <c:v>10/13/2022</c:v>
                </c:pt>
                <c:pt idx="69">
                  <c:v>10/14/2022</c:v>
                </c:pt>
                <c:pt idx="70">
                  <c:v>10/17/2022</c:v>
                </c:pt>
                <c:pt idx="71">
                  <c:v>10/18/2022</c:v>
                </c:pt>
                <c:pt idx="72">
                  <c:v>10/19/2022</c:v>
                </c:pt>
                <c:pt idx="73">
                  <c:v>10/20/2022</c:v>
                </c:pt>
                <c:pt idx="74">
                  <c:v>10/21/2022</c:v>
                </c:pt>
                <c:pt idx="75">
                  <c:v>10/24/2022</c:v>
                </c:pt>
                <c:pt idx="76">
                  <c:v>10/25/2022</c:v>
                </c:pt>
                <c:pt idx="77">
                  <c:v>10/26/2022</c:v>
                </c:pt>
                <c:pt idx="78">
                  <c:v>10/27/2022</c:v>
                </c:pt>
                <c:pt idx="79">
                  <c:v>10/28/2022</c:v>
                </c:pt>
                <c:pt idx="80">
                  <c:v>10/31/2022</c:v>
                </c:pt>
                <c:pt idx="81">
                  <c:v>11/1/2022</c:v>
                </c:pt>
                <c:pt idx="82">
                  <c:v>11/2/2022</c:v>
                </c:pt>
                <c:pt idx="83">
                  <c:v>11/3/2022</c:v>
                </c:pt>
                <c:pt idx="84">
                  <c:v>11/4/2022</c:v>
                </c:pt>
                <c:pt idx="85">
                  <c:v>11/8/2022</c:v>
                </c:pt>
                <c:pt idx="86">
                  <c:v>11/9/2022</c:v>
                </c:pt>
                <c:pt idx="87">
                  <c:v>11/10/2022</c:v>
                </c:pt>
                <c:pt idx="88">
                  <c:v>11/11/2022</c:v>
                </c:pt>
                <c:pt idx="89">
                  <c:v>11/15/2022</c:v>
                </c:pt>
                <c:pt idx="90">
                  <c:v>11/16/2022</c:v>
                </c:pt>
                <c:pt idx="91">
                  <c:v>11/17/2022</c:v>
                </c:pt>
                <c:pt idx="92">
                  <c:v>11/18/2022</c:v>
                </c:pt>
                <c:pt idx="93">
                  <c:v>11/21/2022</c:v>
                </c:pt>
                <c:pt idx="94">
                  <c:v>11/22/2022</c:v>
                </c:pt>
                <c:pt idx="95">
                  <c:v>11/23/2022</c:v>
                </c:pt>
                <c:pt idx="96">
                  <c:v>11/24/2022</c:v>
                </c:pt>
                <c:pt idx="97">
                  <c:v>11/25/2022</c:v>
                </c:pt>
                <c:pt idx="98">
                  <c:v>11/28/2022</c:v>
                </c:pt>
                <c:pt idx="99">
                  <c:v>11/30/2022</c:v>
                </c:pt>
                <c:pt idx="100">
                  <c:v>12/1/2022</c:v>
                </c:pt>
                <c:pt idx="101">
                  <c:v>12/2/2022</c:v>
                </c:pt>
                <c:pt idx="102">
                  <c:v>12/5/2022</c:v>
                </c:pt>
                <c:pt idx="103">
                  <c:v>12/6/2022</c:v>
                </c:pt>
                <c:pt idx="104">
                  <c:v>12/8/2022</c:v>
                </c:pt>
                <c:pt idx="105">
                  <c:v>12/9/2022</c:v>
                </c:pt>
                <c:pt idx="106">
                  <c:v>12/12/2022</c:v>
                </c:pt>
                <c:pt idx="107">
                  <c:v>12/13/2022</c:v>
                </c:pt>
                <c:pt idx="108">
                  <c:v>12/14/2022</c:v>
                </c:pt>
                <c:pt idx="109">
                  <c:v>12/15/2022</c:v>
                </c:pt>
                <c:pt idx="110">
                  <c:v>12/16/2022</c:v>
                </c:pt>
                <c:pt idx="111">
                  <c:v>12/19/2022</c:v>
                </c:pt>
                <c:pt idx="112">
                  <c:v>12/20/2022</c:v>
                </c:pt>
                <c:pt idx="113">
                  <c:v>12/22/2022</c:v>
                </c:pt>
                <c:pt idx="114">
                  <c:v>12/23/2022</c:v>
                </c:pt>
                <c:pt idx="115">
                  <c:v>12/27/2022</c:v>
                </c:pt>
                <c:pt idx="116">
                  <c:v>12/28/2022</c:v>
                </c:pt>
                <c:pt idx="117">
                  <c:v>12/29/2022</c:v>
                </c:pt>
                <c:pt idx="118">
                  <c:v>12/30/2022</c:v>
                </c:pt>
                <c:pt idx="119">
                  <c:v>1/2/2023</c:v>
                </c:pt>
                <c:pt idx="120">
                  <c:v>1/3/2023</c:v>
                </c:pt>
                <c:pt idx="121">
                  <c:v>1/4/2023</c:v>
                </c:pt>
                <c:pt idx="122">
                  <c:v>1/5/2023</c:v>
                </c:pt>
                <c:pt idx="123">
                  <c:v>1/9/2023</c:v>
                </c:pt>
                <c:pt idx="124">
                  <c:v>1/10/2023</c:v>
                </c:pt>
                <c:pt idx="125">
                  <c:v>1/11/2023</c:v>
                </c:pt>
                <c:pt idx="126">
                  <c:v>1/12/2023</c:v>
                </c:pt>
                <c:pt idx="127">
                  <c:v>1/13/2023</c:v>
                </c:pt>
                <c:pt idx="128">
                  <c:v>1/16/2023</c:v>
                </c:pt>
                <c:pt idx="129">
                  <c:v>1/17/2023</c:v>
                </c:pt>
                <c:pt idx="130">
                  <c:v>1/18/2023</c:v>
                </c:pt>
                <c:pt idx="131">
                  <c:v>1/19/2023</c:v>
                </c:pt>
                <c:pt idx="132">
                  <c:v>1/20/2023</c:v>
                </c:pt>
                <c:pt idx="133">
                  <c:v>1/23/2023</c:v>
                </c:pt>
                <c:pt idx="134">
                  <c:v>1/24/2023</c:v>
                </c:pt>
                <c:pt idx="135">
                  <c:v>1/25/2023</c:v>
                </c:pt>
                <c:pt idx="136">
                  <c:v>1/26/2023</c:v>
                </c:pt>
                <c:pt idx="137">
                  <c:v>1/27/2023</c:v>
                </c:pt>
                <c:pt idx="138">
                  <c:v>1/30/2023</c:v>
                </c:pt>
                <c:pt idx="139">
                  <c:v>1/31/2023</c:v>
                </c:pt>
                <c:pt idx="140">
                  <c:v>2/1/2023</c:v>
                </c:pt>
                <c:pt idx="141">
                  <c:v>2/2/2023</c:v>
                </c:pt>
                <c:pt idx="142">
                  <c:v>2/3/2023</c:v>
                </c:pt>
                <c:pt idx="143">
                  <c:v>2/6/2023</c:v>
                </c:pt>
                <c:pt idx="144">
                  <c:v>2/7/2023</c:v>
                </c:pt>
                <c:pt idx="145">
                  <c:v>2/8/2023</c:v>
                </c:pt>
                <c:pt idx="146">
                  <c:v>2/9/2023</c:v>
                </c:pt>
                <c:pt idx="147">
                  <c:v>2/10/2023</c:v>
                </c:pt>
                <c:pt idx="148">
                  <c:v>2/13/2023</c:v>
                </c:pt>
                <c:pt idx="149">
                  <c:v>2/14/2023</c:v>
                </c:pt>
                <c:pt idx="150">
                  <c:v>2/15/2023</c:v>
                </c:pt>
                <c:pt idx="151">
                  <c:v>2/16/2023</c:v>
                </c:pt>
                <c:pt idx="152">
                  <c:v>2/17/2023</c:v>
                </c:pt>
                <c:pt idx="153">
                  <c:v>2/20/2023</c:v>
                </c:pt>
                <c:pt idx="154">
                  <c:v>2/21/2023</c:v>
                </c:pt>
                <c:pt idx="155">
                  <c:v>2/22/2023</c:v>
                </c:pt>
                <c:pt idx="156">
                  <c:v>2/23/2023</c:v>
                </c:pt>
                <c:pt idx="157">
                  <c:v>2/24/2023</c:v>
                </c:pt>
                <c:pt idx="158">
                  <c:v>2/27/2023</c:v>
                </c:pt>
                <c:pt idx="159">
                  <c:v>2/28/2023</c:v>
                </c:pt>
                <c:pt idx="160">
                  <c:v>3/1/2023</c:v>
                </c:pt>
                <c:pt idx="161">
                  <c:v>3/2/2023</c:v>
                </c:pt>
                <c:pt idx="162">
                  <c:v>3/3/2023</c:v>
                </c:pt>
                <c:pt idx="163">
                  <c:v>3/7/2023</c:v>
                </c:pt>
                <c:pt idx="164">
                  <c:v>3/8/2023</c:v>
                </c:pt>
                <c:pt idx="165">
                  <c:v>3/9/2023</c:v>
                </c:pt>
                <c:pt idx="166">
                  <c:v>3/10/2023</c:v>
                </c:pt>
                <c:pt idx="167">
                  <c:v>3/13/2023</c:v>
                </c:pt>
                <c:pt idx="168">
                  <c:v>3/14/2023</c:v>
                </c:pt>
                <c:pt idx="169">
                  <c:v>3/15/2023</c:v>
                </c:pt>
                <c:pt idx="170">
                  <c:v>3/16/2023</c:v>
                </c:pt>
                <c:pt idx="171">
                  <c:v>3/17/2023</c:v>
                </c:pt>
                <c:pt idx="172">
                  <c:v>3/20/2023</c:v>
                </c:pt>
                <c:pt idx="173">
                  <c:v>3/21/2023</c:v>
                </c:pt>
                <c:pt idx="174">
                  <c:v>3/22/2023</c:v>
                </c:pt>
                <c:pt idx="175">
                  <c:v>3/23/2023</c:v>
                </c:pt>
                <c:pt idx="176">
                  <c:v>3/24/2023</c:v>
                </c:pt>
                <c:pt idx="177">
                  <c:v>3/27/2023</c:v>
                </c:pt>
                <c:pt idx="178">
                  <c:v>3/28/2023</c:v>
                </c:pt>
                <c:pt idx="179">
                  <c:v>3/29/2023</c:v>
                </c:pt>
                <c:pt idx="180">
                  <c:v>3/30/2023</c:v>
                </c:pt>
                <c:pt idx="181">
                  <c:v>3/31/2023</c:v>
                </c:pt>
                <c:pt idx="182">
                  <c:v>4/3/2023</c:v>
                </c:pt>
                <c:pt idx="183">
                  <c:v>4/4/2023</c:v>
                </c:pt>
                <c:pt idx="184">
                  <c:v>4/6/2023</c:v>
                </c:pt>
                <c:pt idx="185">
                  <c:v>4/7/2023</c:v>
                </c:pt>
                <c:pt idx="186">
                  <c:v>4/10/2023</c:v>
                </c:pt>
                <c:pt idx="187">
                  <c:v>4/17/2023</c:v>
                </c:pt>
                <c:pt idx="188">
                  <c:v>4/18/2023</c:v>
                </c:pt>
                <c:pt idx="189">
                  <c:v>4/19/2023</c:v>
                </c:pt>
                <c:pt idx="190">
                  <c:v>4/20/2023</c:v>
                </c:pt>
                <c:pt idx="191">
                  <c:v>4/21/2023</c:v>
                </c:pt>
                <c:pt idx="192">
                  <c:v>4/24/2023</c:v>
                </c:pt>
                <c:pt idx="193">
                  <c:v>4/25/2023</c:v>
                </c:pt>
                <c:pt idx="194">
                  <c:v>4/26/2023</c:v>
                </c:pt>
                <c:pt idx="195">
                  <c:v>4/27/2023</c:v>
                </c:pt>
                <c:pt idx="196">
                  <c:v>4/28/2023</c:v>
                </c:pt>
                <c:pt idx="197">
                  <c:v>5/2/2023</c:v>
                </c:pt>
                <c:pt idx="198">
                  <c:v>5/3/2023</c:v>
                </c:pt>
                <c:pt idx="199">
                  <c:v>5/4/2023</c:v>
                </c:pt>
                <c:pt idx="200">
                  <c:v>5/8/2023</c:v>
                </c:pt>
                <c:pt idx="201">
                  <c:v>5/9/2023</c:v>
                </c:pt>
                <c:pt idx="202">
                  <c:v>5/10/2023</c:v>
                </c:pt>
                <c:pt idx="203">
                  <c:v>5/11/2023</c:v>
                </c:pt>
                <c:pt idx="204">
                  <c:v>5/12/2023</c:v>
                </c:pt>
                <c:pt idx="205">
                  <c:v>5/15/2023</c:v>
                </c:pt>
                <c:pt idx="206">
                  <c:v>5/16/2023</c:v>
                </c:pt>
                <c:pt idx="207">
                  <c:v>5/17/2023</c:v>
                </c:pt>
                <c:pt idx="208">
                  <c:v>5/18/2023</c:v>
                </c:pt>
                <c:pt idx="209">
                  <c:v>5/19/2023</c:v>
                </c:pt>
                <c:pt idx="210">
                  <c:v>5/22/2023</c:v>
                </c:pt>
                <c:pt idx="211">
                  <c:v>5/23/2023</c:v>
                </c:pt>
                <c:pt idx="212">
                  <c:v>5/24/2023</c:v>
                </c:pt>
                <c:pt idx="213">
                  <c:v>5/25/2023</c:v>
                </c:pt>
                <c:pt idx="214">
                  <c:v>5/26/2023</c:v>
                </c:pt>
                <c:pt idx="215">
                  <c:v>5/29/2023</c:v>
                </c:pt>
                <c:pt idx="216">
                  <c:v>5/30/2023</c:v>
                </c:pt>
                <c:pt idx="217">
                  <c:v>5/31/2023</c:v>
                </c:pt>
                <c:pt idx="218">
                  <c:v>6/1/2023</c:v>
                </c:pt>
                <c:pt idx="219">
                  <c:v>6/2/2023</c:v>
                </c:pt>
                <c:pt idx="220">
                  <c:v>6/5/2023</c:v>
                </c:pt>
                <c:pt idx="221">
                  <c:v>6/6/2023</c:v>
                </c:pt>
                <c:pt idx="222">
                  <c:v>6/7/2023</c:v>
                </c:pt>
                <c:pt idx="223">
                  <c:v>6/8/2023</c:v>
                </c:pt>
                <c:pt idx="224">
                  <c:v>6/9/2023</c:v>
                </c:pt>
                <c:pt idx="225">
                  <c:v>6/12/2023</c:v>
                </c:pt>
                <c:pt idx="226">
                  <c:v>6/14/2023</c:v>
                </c:pt>
                <c:pt idx="227">
                  <c:v>6/15/2023</c:v>
                </c:pt>
                <c:pt idx="228">
                  <c:v>6/16/2023</c:v>
                </c:pt>
                <c:pt idx="229">
                  <c:v>6/19/2023</c:v>
                </c:pt>
                <c:pt idx="230">
                  <c:v>6/20/2023</c:v>
                </c:pt>
                <c:pt idx="231">
                  <c:v>6/21/2023</c:v>
                </c:pt>
                <c:pt idx="232">
                  <c:v>6/22/2023</c:v>
                </c:pt>
                <c:pt idx="233">
                  <c:v>6/23/2023</c:v>
                </c:pt>
                <c:pt idx="234">
                  <c:v>6/26/2023</c:v>
                </c:pt>
                <c:pt idx="235">
                  <c:v>6/27/2023</c:v>
                </c:pt>
                <c:pt idx="236">
                  <c:v>6/28/2023</c:v>
                </c:pt>
                <c:pt idx="237">
                  <c:v>6/29/2023</c:v>
                </c:pt>
                <c:pt idx="238">
                  <c:v>6/30/2023</c:v>
                </c:pt>
                <c:pt idx="239">
                  <c:v>7/4/2023</c:v>
                </c:pt>
                <c:pt idx="240">
                  <c:v>7/5/2023</c:v>
                </c:pt>
                <c:pt idx="241">
                  <c:v>7/6/2023</c:v>
                </c:pt>
                <c:pt idx="242">
                  <c:v>7/7/2023</c:v>
                </c:pt>
                <c:pt idx="243">
                  <c:v>7/10/2023</c:v>
                </c:pt>
                <c:pt idx="244">
                  <c:v>7/11/2023</c:v>
                </c:pt>
                <c:pt idx="245">
                  <c:v>7/12/2023</c:v>
                </c:pt>
                <c:pt idx="246">
                  <c:v>7/13/2023</c:v>
                </c:pt>
                <c:pt idx="247">
                  <c:v>7/14/2023</c:v>
                </c:pt>
                <c:pt idx="248">
                  <c:v>7/17/2023</c:v>
                </c:pt>
                <c:pt idx="249">
                  <c:v>7/21/2023</c:v>
                </c:pt>
              </c:strCache>
            </c:strRef>
          </c:cat>
          <c:val>
            <c:numRef>
              <c:f>'WH Occu. trend Analysis'!$R$600:$R$850</c:f>
              <c:numCache>
                <c:formatCode>General</c:formatCode>
                <c:ptCount val="250"/>
                <c:pt idx="0">
                  <c:v>9503.8731999999982</c:v>
                </c:pt>
                <c:pt idx="1">
                  <c:v>9379.0812000000005</c:v>
                </c:pt>
                <c:pt idx="2">
                  <c:v>9379.0812000000005</c:v>
                </c:pt>
                <c:pt idx="3">
                  <c:v>9247.1641999999993</c:v>
                </c:pt>
                <c:pt idx="4">
                  <c:v>9332.738199999998</c:v>
                </c:pt>
                <c:pt idx="5">
                  <c:v>9247.1641999999993</c:v>
                </c:pt>
                <c:pt idx="6">
                  <c:v>8638.7540000000008</c:v>
                </c:pt>
                <c:pt idx="7">
                  <c:v>8822.2498999999989</c:v>
                </c:pt>
                <c:pt idx="8">
                  <c:v>8747.313900000001</c:v>
                </c:pt>
                <c:pt idx="9">
                  <c:v>8845.7389999999996</c:v>
                </c:pt>
                <c:pt idx="10">
                  <c:v>8951.9709999999995</c:v>
                </c:pt>
                <c:pt idx="11">
                  <c:v>9205.273900000002</c:v>
                </c:pt>
                <c:pt idx="12">
                  <c:v>9292.0298999999995</c:v>
                </c:pt>
                <c:pt idx="13">
                  <c:v>9225.4868999999981</c:v>
                </c:pt>
                <c:pt idx="14">
                  <c:v>8825.905999999999</c:v>
                </c:pt>
                <c:pt idx="15">
                  <c:v>8417.764000000001</c:v>
                </c:pt>
                <c:pt idx="16">
                  <c:v>8731</c:v>
                </c:pt>
                <c:pt idx="17">
                  <c:v>8765.8670000000002</c:v>
                </c:pt>
                <c:pt idx="18">
                  <c:v>8821.0709000000006</c:v>
                </c:pt>
                <c:pt idx="19">
                  <c:v>8678.4890000000014</c:v>
                </c:pt>
                <c:pt idx="20">
                  <c:v>8707.3169999999991</c:v>
                </c:pt>
                <c:pt idx="21">
                  <c:v>8733.2560000000012</c:v>
                </c:pt>
                <c:pt idx="22">
                  <c:v>8544.2345000000005</c:v>
                </c:pt>
                <c:pt idx="23">
                  <c:v>8493.2338999999993</c:v>
                </c:pt>
                <c:pt idx="24">
                  <c:v>8591.0430000000015</c:v>
                </c:pt>
                <c:pt idx="25">
                  <c:v>8759.0649999999987</c:v>
                </c:pt>
                <c:pt idx="26">
                  <c:v>8872.7168999999976</c:v>
                </c:pt>
                <c:pt idx="27">
                  <c:v>8998.7358999999997</c:v>
                </c:pt>
                <c:pt idx="28">
                  <c:v>9260.5608999999986</c:v>
                </c:pt>
                <c:pt idx="29">
                  <c:v>9197.7329000000009</c:v>
                </c:pt>
                <c:pt idx="30">
                  <c:v>9149.5169000000005</c:v>
                </c:pt>
                <c:pt idx="31">
                  <c:v>9179.9079000000002</c:v>
                </c:pt>
                <c:pt idx="32">
                  <c:v>9001.1018999999997</c:v>
                </c:pt>
                <c:pt idx="33">
                  <c:v>9265.0699000000004</c:v>
                </c:pt>
                <c:pt idx="34">
                  <c:v>9168.0228999999981</c:v>
                </c:pt>
                <c:pt idx="35">
                  <c:v>9052.6413999999986</c:v>
                </c:pt>
                <c:pt idx="36">
                  <c:v>9015</c:v>
                </c:pt>
                <c:pt idx="37">
                  <c:v>8891.5960000000014</c:v>
                </c:pt>
                <c:pt idx="38">
                  <c:v>8999.2820000000011</c:v>
                </c:pt>
                <c:pt idx="39">
                  <c:v>8849.8948999999975</c:v>
                </c:pt>
                <c:pt idx="40">
                  <c:v>8710.3989000000001</c:v>
                </c:pt>
                <c:pt idx="41">
                  <c:v>8999.2820000000011</c:v>
                </c:pt>
                <c:pt idx="42">
                  <c:v>8311.7839999999997</c:v>
                </c:pt>
                <c:pt idx="43">
                  <c:v>8442.2289999999994</c:v>
                </c:pt>
                <c:pt idx="44">
                  <c:v>8370.93</c:v>
                </c:pt>
                <c:pt idx="45">
                  <c:v>8379.2299000000003</c:v>
                </c:pt>
                <c:pt idx="46">
                  <c:v>8160</c:v>
                </c:pt>
                <c:pt idx="47">
                  <c:v>8223.6489000000001</c:v>
                </c:pt>
                <c:pt idx="48">
                  <c:v>8143.5540000000001</c:v>
                </c:pt>
                <c:pt idx="49">
                  <c:v>7926.1369000000004</c:v>
                </c:pt>
                <c:pt idx="50">
                  <c:v>7592.2008999999998</c:v>
                </c:pt>
                <c:pt idx="51">
                  <c:v>7742.7568999999994</c:v>
                </c:pt>
                <c:pt idx="52">
                  <c:v>7635.6089999999995</c:v>
                </c:pt>
                <c:pt idx="53">
                  <c:v>7694.861899999999</c:v>
                </c:pt>
                <c:pt idx="54">
                  <c:v>7623</c:v>
                </c:pt>
                <c:pt idx="55">
                  <c:v>7278.4129000000003</c:v>
                </c:pt>
                <c:pt idx="56">
                  <c:v>7424</c:v>
                </c:pt>
                <c:pt idx="57">
                  <c:v>7310</c:v>
                </c:pt>
                <c:pt idx="58">
                  <c:v>7325</c:v>
                </c:pt>
                <c:pt idx="59">
                  <c:v>7226</c:v>
                </c:pt>
                <c:pt idx="60">
                  <c:v>7217</c:v>
                </c:pt>
                <c:pt idx="61">
                  <c:v>7417.5608999999995</c:v>
                </c:pt>
                <c:pt idx="62">
                  <c:v>7435</c:v>
                </c:pt>
                <c:pt idx="63">
                  <c:v>7307</c:v>
                </c:pt>
                <c:pt idx="64">
                  <c:v>7269</c:v>
                </c:pt>
                <c:pt idx="65">
                  <c:v>7058</c:v>
                </c:pt>
                <c:pt idx="66">
                  <c:v>7406</c:v>
                </c:pt>
                <c:pt idx="67">
                  <c:v>7489</c:v>
                </c:pt>
                <c:pt idx="68">
                  <c:v>7549</c:v>
                </c:pt>
                <c:pt idx="69">
                  <c:v>7367</c:v>
                </c:pt>
                <c:pt idx="70">
                  <c:v>7098</c:v>
                </c:pt>
                <c:pt idx="71">
                  <c:v>7238</c:v>
                </c:pt>
                <c:pt idx="72">
                  <c:v>7114</c:v>
                </c:pt>
                <c:pt idx="73">
                  <c:v>7153</c:v>
                </c:pt>
                <c:pt idx="74">
                  <c:v>7062</c:v>
                </c:pt>
                <c:pt idx="75">
                  <c:v>6938</c:v>
                </c:pt>
                <c:pt idx="76">
                  <c:v>7209</c:v>
                </c:pt>
                <c:pt idx="77">
                  <c:v>7519</c:v>
                </c:pt>
                <c:pt idx="78">
                  <c:v>7752</c:v>
                </c:pt>
                <c:pt idx="79">
                  <c:v>7844</c:v>
                </c:pt>
                <c:pt idx="80">
                  <c:v>7910</c:v>
                </c:pt>
                <c:pt idx="81">
                  <c:v>8012</c:v>
                </c:pt>
                <c:pt idx="82">
                  <c:v>8109</c:v>
                </c:pt>
                <c:pt idx="83">
                  <c:v>8174</c:v>
                </c:pt>
                <c:pt idx="84">
                  <c:v>8129</c:v>
                </c:pt>
                <c:pt idx="85">
                  <c:v>7979</c:v>
                </c:pt>
                <c:pt idx="86">
                  <c:v>8089</c:v>
                </c:pt>
                <c:pt idx="87">
                  <c:v>8309</c:v>
                </c:pt>
                <c:pt idx="88">
                  <c:v>8449</c:v>
                </c:pt>
                <c:pt idx="89">
                  <c:v>8562</c:v>
                </c:pt>
                <c:pt idx="90">
                  <c:v>8676</c:v>
                </c:pt>
                <c:pt idx="91">
                  <c:v>8652</c:v>
                </c:pt>
                <c:pt idx="92">
                  <c:v>8770</c:v>
                </c:pt>
                <c:pt idx="93">
                  <c:v>8674</c:v>
                </c:pt>
                <c:pt idx="94">
                  <c:v>8774</c:v>
                </c:pt>
                <c:pt idx="95">
                  <c:v>8913</c:v>
                </c:pt>
                <c:pt idx="96">
                  <c:v>8914</c:v>
                </c:pt>
                <c:pt idx="97">
                  <c:v>8925</c:v>
                </c:pt>
                <c:pt idx="98">
                  <c:v>8441</c:v>
                </c:pt>
                <c:pt idx="99">
                  <c:v>8480</c:v>
                </c:pt>
                <c:pt idx="100">
                  <c:v>8528</c:v>
                </c:pt>
                <c:pt idx="101">
                  <c:v>8449</c:v>
                </c:pt>
                <c:pt idx="102">
                  <c:v>8097</c:v>
                </c:pt>
                <c:pt idx="103">
                  <c:v>8192</c:v>
                </c:pt>
                <c:pt idx="104">
                  <c:v>8199</c:v>
                </c:pt>
                <c:pt idx="105">
                  <c:v>8448</c:v>
                </c:pt>
                <c:pt idx="106">
                  <c:v>8076</c:v>
                </c:pt>
                <c:pt idx="107">
                  <c:v>8187</c:v>
                </c:pt>
                <c:pt idx="108">
                  <c:v>8306</c:v>
                </c:pt>
                <c:pt idx="109">
                  <c:v>8349</c:v>
                </c:pt>
                <c:pt idx="110">
                  <c:v>8261</c:v>
                </c:pt>
                <c:pt idx="111">
                  <c:v>8060</c:v>
                </c:pt>
                <c:pt idx="112">
                  <c:v>8078</c:v>
                </c:pt>
                <c:pt idx="113">
                  <c:v>8118</c:v>
                </c:pt>
                <c:pt idx="114">
                  <c:v>8168</c:v>
                </c:pt>
                <c:pt idx="115">
                  <c:v>8081</c:v>
                </c:pt>
                <c:pt idx="116">
                  <c:v>7997</c:v>
                </c:pt>
                <c:pt idx="117">
                  <c:v>7970</c:v>
                </c:pt>
                <c:pt idx="118">
                  <c:v>7868</c:v>
                </c:pt>
                <c:pt idx="119">
                  <c:v>7726</c:v>
                </c:pt>
                <c:pt idx="120">
                  <c:v>7726</c:v>
                </c:pt>
                <c:pt idx="121">
                  <c:v>8004</c:v>
                </c:pt>
                <c:pt idx="122">
                  <c:v>8026</c:v>
                </c:pt>
                <c:pt idx="123">
                  <c:v>7827</c:v>
                </c:pt>
                <c:pt idx="124">
                  <c:v>7917</c:v>
                </c:pt>
                <c:pt idx="125">
                  <c:v>8092</c:v>
                </c:pt>
                <c:pt idx="126">
                  <c:v>8102</c:v>
                </c:pt>
                <c:pt idx="127">
                  <c:v>8111</c:v>
                </c:pt>
                <c:pt idx="128">
                  <c:v>7918</c:v>
                </c:pt>
                <c:pt idx="129">
                  <c:v>8053</c:v>
                </c:pt>
                <c:pt idx="130">
                  <c:v>7842</c:v>
                </c:pt>
                <c:pt idx="131">
                  <c:v>7655</c:v>
                </c:pt>
                <c:pt idx="132">
                  <c:v>7638</c:v>
                </c:pt>
                <c:pt idx="133">
                  <c:v>7392.1948000000011</c:v>
                </c:pt>
                <c:pt idx="134">
                  <c:v>7546.1088999999993</c:v>
                </c:pt>
                <c:pt idx="135">
                  <c:v>7545.8979000000008</c:v>
                </c:pt>
                <c:pt idx="136">
                  <c:v>7674.9698000000026</c:v>
                </c:pt>
                <c:pt idx="137">
                  <c:v>7605.0029000000013</c:v>
                </c:pt>
                <c:pt idx="138">
                  <c:v>7476.8239000000003</c:v>
                </c:pt>
                <c:pt idx="139">
                  <c:v>7638.4749999999985</c:v>
                </c:pt>
                <c:pt idx="140">
                  <c:v>7645.3568999999989</c:v>
                </c:pt>
                <c:pt idx="141">
                  <c:v>7711.9098999999987</c:v>
                </c:pt>
                <c:pt idx="142">
                  <c:v>7793.9929000000011</c:v>
                </c:pt>
                <c:pt idx="143">
                  <c:v>7708.0339000000004</c:v>
                </c:pt>
                <c:pt idx="144">
                  <c:v>7716.3130000000001</c:v>
                </c:pt>
                <c:pt idx="145">
                  <c:v>7872.74</c:v>
                </c:pt>
                <c:pt idx="146">
                  <c:v>7981.5729999999967</c:v>
                </c:pt>
                <c:pt idx="147">
                  <c:v>7879.0160000000005</c:v>
                </c:pt>
                <c:pt idx="148">
                  <c:v>7483.6110000000008</c:v>
                </c:pt>
                <c:pt idx="149">
                  <c:v>7467.2239999999993</c:v>
                </c:pt>
                <c:pt idx="150">
                  <c:v>7442.2339999999995</c:v>
                </c:pt>
                <c:pt idx="151">
                  <c:v>7349.1009999999987</c:v>
                </c:pt>
                <c:pt idx="152">
                  <c:v>7438.690999999998</c:v>
                </c:pt>
                <c:pt idx="153">
                  <c:v>7398.5009</c:v>
                </c:pt>
                <c:pt idx="154">
                  <c:v>7479.4568999999992</c:v>
                </c:pt>
                <c:pt idx="155">
                  <c:v>7452.0968000000003</c:v>
                </c:pt>
                <c:pt idx="156">
                  <c:v>7452.0968000000003</c:v>
                </c:pt>
                <c:pt idx="157">
                  <c:v>7637.4959999999983</c:v>
                </c:pt>
                <c:pt idx="158">
                  <c:v>7613.4320000000007</c:v>
                </c:pt>
                <c:pt idx="159">
                  <c:v>7676.4140000000007</c:v>
                </c:pt>
                <c:pt idx="160">
                  <c:v>7718.137999999999</c:v>
                </c:pt>
                <c:pt idx="161">
                  <c:v>7796.1529</c:v>
                </c:pt>
                <c:pt idx="162">
                  <c:v>7807.3199999999988</c:v>
                </c:pt>
                <c:pt idx="163">
                  <c:v>7583.1818999999987</c:v>
                </c:pt>
                <c:pt idx="164">
                  <c:v>7719.8359000000009</c:v>
                </c:pt>
                <c:pt idx="165">
                  <c:v>7882.7160000000003</c:v>
                </c:pt>
                <c:pt idx="166">
                  <c:v>8017.4409999999989</c:v>
                </c:pt>
                <c:pt idx="167">
                  <c:v>8050.9228999999996</c:v>
                </c:pt>
                <c:pt idx="168">
                  <c:v>8149.6420000000007</c:v>
                </c:pt>
                <c:pt idx="169">
                  <c:v>8216.3379999999997</c:v>
                </c:pt>
                <c:pt idx="170">
                  <c:v>8283.1660000000011</c:v>
                </c:pt>
                <c:pt idx="171">
                  <c:v>8173.098</c:v>
                </c:pt>
                <c:pt idx="172">
                  <c:v>7888.1849000000002</c:v>
                </c:pt>
                <c:pt idx="173">
                  <c:v>7956.2650000000012</c:v>
                </c:pt>
                <c:pt idx="174">
                  <c:v>8115.9380000000019</c:v>
                </c:pt>
                <c:pt idx="175">
                  <c:v>8167.232</c:v>
                </c:pt>
                <c:pt idx="176">
                  <c:v>8226.2209999999995</c:v>
                </c:pt>
                <c:pt idx="177">
                  <c:v>7994.1130000000003</c:v>
                </c:pt>
                <c:pt idx="178">
                  <c:v>8152.79</c:v>
                </c:pt>
                <c:pt idx="179">
                  <c:v>8091.3782000000001</c:v>
                </c:pt>
                <c:pt idx="180">
                  <c:v>8066.8142000000007</c:v>
                </c:pt>
                <c:pt idx="181">
                  <c:v>7919.3842000000022</c:v>
                </c:pt>
                <c:pt idx="182">
                  <c:v>7706.6512000000002</c:v>
                </c:pt>
                <c:pt idx="183">
                  <c:v>7706.6512000000002</c:v>
                </c:pt>
                <c:pt idx="184">
                  <c:v>7633.2860999999984</c:v>
                </c:pt>
                <c:pt idx="185">
                  <c:v>7901.4241999999995</c:v>
                </c:pt>
                <c:pt idx="186">
                  <c:v>7792.0181999999986</c:v>
                </c:pt>
                <c:pt idx="187">
                  <c:v>7753.9221999999991</c:v>
                </c:pt>
                <c:pt idx="188">
                  <c:v>7760.3340999999991</c:v>
                </c:pt>
                <c:pt idx="189">
                  <c:v>7565.6200999999992</c:v>
                </c:pt>
                <c:pt idx="190">
                  <c:v>7446.3931000000002</c:v>
                </c:pt>
                <c:pt idx="191">
                  <c:v>7463.5690999999988</c:v>
                </c:pt>
                <c:pt idx="192">
                  <c:v>7126.588999999999</c:v>
                </c:pt>
                <c:pt idx="193">
                  <c:v>7134.4689000000008</c:v>
                </c:pt>
                <c:pt idx="194">
                  <c:v>7134.4689000000008</c:v>
                </c:pt>
                <c:pt idx="195">
                  <c:v>7020.6519000000008</c:v>
                </c:pt>
                <c:pt idx="196">
                  <c:v>6864.8429000000006</c:v>
                </c:pt>
                <c:pt idx="197">
                  <c:v>6533.7609000000002</c:v>
                </c:pt>
                <c:pt idx="198">
                  <c:v>6366.2148999999999</c:v>
                </c:pt>
                <c:pt idx="199">
                  <c:v>6186.6158999999998</c:v>
                </c:pt>
                <c:pt idx="200">
                  <c:v>6122.1318999999994</c:v>
                </c:pt>
                <c:pt idx="201">
                  <c:v>6138.3698999999997</c:v>
                </c:pt>
                <c:pt idx="202">
                  <c:v>6349.8379000000014</c:v>
                </c:pt>
                <c:pt idx="203">
                  <c:v>6431.5619000000006</c:v>
                </c:pt>
                <c:pt idx="204">
                  <c:v>6314.4908999999998</c:v>
                </c:pt>
                <c:pt idx="205">
                  <c:v>6061.8358999999991</c:v>
                </c:pt>
                <c:pt idx="206">
                  <c:v>6213.0959000000012</c:v>
                </c:pt>
                <c:pt idx="207">
                  <c:v>6369.5458999999992</c:v>
                </c:pt>
                <c:pt idx="208">
                  <c:v>6370.9488999999994</c:v>
                </c:pt>
                <c:pt idx="209">
                  <c:v>6364.7808999999997</c:v>
                </c:pt>
                <c:pt idx="210">
                  <c:v>6286.9960000000001</c:v>
                </c:pt>
                <c:pt idx="211">
                  <c:v>6635.3000999999995</c:v>
                </c:pt>
                <c:pt idx="212">
                  <c:v>6804.6451000000006</c:v>
                </c:pt>
                <c:pt idx="213">
                  <c:v>6952.4061000000011</c:v>
                </c:pt>
                <c:pt idx="214">
                  <c:v>7058.4020999999993</c:v>
                </c:pt>
                <c:pt idx="215">
                  <c:v>6951.8199000000004</c:v>
                </c:pt>
                <c:pt idx="216">
                  <c:v>7068.6099000000004</c:v>
                </c:pt>
                <c:pt idx="217">
                  <c:v>6978.1608999999999</c:v>
                </c:pt>
                <c:pt idx="218">
                  <c:v>6850.9069</c:v>
                </c:pt>
                <c:pt idx="219">
                  <c:v>6819.4758999999995</c:v>
                </c:pt>
                <c:pt idx="220">
                  <c:v>6819.4758999999995</c:v>
                </c:pt>
                <c:pt idx="221">
                  <c:v>6680.1239999999998</c:v>
                </c:pt>
                <c:pt idx="222">
                  <c:v>6797.3128999999999</c:v>
                </c:pt>
                <c:pt idx="223">
                  <c:v>6878.9378999999999</c:v>
                </c:pt>
                <c:pt idx="224">
                  <c:v>7064.4098999999997</c:v>
                </c:pt>
                <c:pt idx="225">
                  <c:v>6877.2708999999995</c:v>
                </c:pt>
                <c:pt idx="226">
                  <c:v>7199.5879999999997</c:v>
                </c:pt>
                <c:pt idx="227">
                  <c:v>7227.1890000000003</c:v>
                </c:pt>
                <c:pt idx="228">
                  <c:v>7265.634</c:v>
                </c:pt>
                <c:pt idx="229">
                  <c:v>7170.424</c:v>
                </c:pt>
                <c:pt idx="230">
                  <c:v>7295.2959999999994</c:v>
                </c:pt>
                <c:pt idx="231">
                  <c:v>7336.6338999999998</c:v>
                </c:pt>
                <c:pt idx="232">
                  <c:v>7324.9549999999999</c:v>
                </c:pt>
                <c:pt idx="233">
                  <c:v>7203.1260000000002</c:v>
                </c:pt>
                <c:pt idx="234">
                  <c:v>6563.09</c:v>
                </c:pt>
                <c:pt idx="235">
                  <c:v>6539.0549999999985</c:v>
                </c:pt>
                <c:pt idx="236">
                  <c:v>6675.7279999999992</c:v>
                </c:pt>
                <c:pt idx="237">
                  <c:v>6821.4139999999998</c:v>
                </c:pt>
                <c:pt idx="238">
                  <c:v>6940.8360000000002</c:v>
                </c:pt>
                <c:pt idx="239">
                  <c:v>6386.4809999999998</c:v>
                </c:pt>
                <c:pt idx="240">
                  <c:v>6605.2569999999996</c:v>
                </c:pt>
                <c:pt idx="241">
                  <c:v>6552.3009999999995</c:v>
                </c:pt>
                <c:pt idx="242">
                  <c:v>6628.7860000000001</c:v>
                </c:pt>
                <c:pt idx="243">
                  <c:v>6212.3218999999999</c:v>
                </c:pt>
                <c:pt idx="244">
                  <c:v>6306.2799000000005</c:v>
                </c:pt>
                <c:pt idx="245">
                  <c:v>6193.1949999999997</c:v>
                </c:pt>
                <c:pt idx="246">
                  <c:v>6275.4968999999992</c:v>
                </c:pt>
                <c:pt idx="247">
                  <c:v>6377.6389000000008</c:v>
                </c:pt>
                <c:pt idx="248">
                  <c:v>6018.3329000000012</c:v>
                </c:pt>
                <c:pt idx="249">
                  <c:v>6155.6408999999994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E0-47FD-91FE-CE7FA4B12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83138864"/>
        <c:axId val="-783148656"/>
      </c:lineChart>
      <c:catAx>
        <c:axId val="-783138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83148656"/>
        <c:crosses val="autoZero"/>
        <c:auto val="1"/>
        <c:lblAlgn val="ctr"/>
        <c:lblOffset val="100"/>
        <c:noMultiLvlLbl val="0"/>
      </c:catAx>
      <c:valAx>
        <c:axId val="-783148656"/>
        <c:scaling>
          <c:orientation val="minMax"/>
          <c:min val="5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8313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plant).xlsx]SheetPannal1!PivotTable1</c:name>
    <c:fmtId val="249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DC Occupancy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9487743405660775E-3"/>
              <c:y val="2.3468651979109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468651979109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49655025171584"/>
          <c:y val="0.16697959642152038"/>
          <c:w val="0.70456301449791403"/>
          <c:h val="0.615910488509303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SheetPannal1!$C$3</c:f>
              <c:strCache>
                <c:ptCount val="1"/>
                <c:pt idx="0">
                  <c:v>Capacity 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SheetPannal1!$A$4:$B$6</c:f>
              <c:multiLvlStrCache>
                <c:ptCount val="2"/>
                <c:lvl>
                  <c:pt idx="0">
                    <c:v>91%</c:v>
                  </c:pt>
                  <c:pt idx="1">
                    <c:v>57%</c:v>
                  </c:pt>
                </c:lvl>
                <c:lvl>
                  <c:pt idx="0">
                    <c:v>Main DC</c:v>
                  </c:pt>
                  <c:pt idx="1">
                    <c:v>BIPL</c:v>
                  </c:pt>
                </c:lvl>
              </c:multiLvlStrCache>
            </c:multiLvlStrRef>
          </c:cat>
          <c:val>
            <c:numRef>
              <c:f>SheetPannal1!$C$4:$C$6</c:f>
              <c:numCache>
                <c:formatCode>General</c:formatCode>
                <c:ptCount val="2"/>
                <c:pt idx="0">
                  <c:v>10131</c:v>
                </c:pt>
                <c:pt idx="1">
                  <c:v>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3-4DF0-8D9E-ECAC021B74E7}"/>
            </c:ext>
          </c:extLst>
        </c:ser>
        <c:ser>
          <c:idx val="1"/>
          <c:order val="1"/>
          <c:tx>
            <c:strRef>
              <c:f>SheetPannal1!$D$3</c:f>
              <c:strCache>
                <c:ptCount val="1"/>
                <c:pt idx="0">
                  <c:v>Occupancy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SheetPannal1!$A$4:$B$6</c:f>
              <c:multiLvlStrCache>
                <c:ptCount val="2"/>
                <c:lvl>
                  <c:pt idx="0">
                    <c:v>91%</c:v>
                  </c:pt>
                  <c:pt idx="1">
                    <c:v>57%</c:v>
                  </c:pt>
                </c:lvl>
                <c:lvl>
                  <c:pt idx="0">
                    <c:v>Main DC</c:v>
                  </c:pt>
                  <c:pt idx="1">
                    <c:v>BIPL</c:v>
                  </c:pt>
                </c:lvl>
              </c:multiLvlStrCache>
            </c:multiLvlStrRef>
          </c:cat>
          <c:val>
            <c:numRef>
              <c:f>SheetPannal1!$D$4:$D$6</c:f>
              <c:numCache>
                <c:formatCode>General</c:formatCode>
                <c:ptCount val="2"/>
                <c:pt idx="0">
                  <c:v>9169</c:v>
                </c:pt>
                <c:pt idx="1">
                  <c:v>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83-4DF0-8D9E-ECAC021B74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644856880"/>
        <c:axId val="-1643828000"/>
      </c:barChart>
      <c:catAx>
        <c:axId val="-1644856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28000"/>
        <c:crosses val="autoZero"/>
        <c:auto val="1"/>
        <c:lblAlgn val="ctr"/>
        <c:lblOffset val="100"/>
        <c:noMultiLvlLbl val="0"/>
      </c:catAx>
      <c:valAx>
        <c:axId val="-16438280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 of pallets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87751531058619"/>
          <c:y val="0.90314269926785484"/>
          <c:w val="0.26907330633808108"/>
          <c:h val="8.2498807637127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cap="none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cap="none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Opportunity Cost For the Day</a:t>
            </a:r>
          </a:p>
        </c:rich>
      </c:tx>
      <c:layout>
        <c:manualLayout>
          <c:xMode val="edge"/>
          <c:yMode val="edge"/>
          <c:x val="0.34640821419849965"/>
          <c:y val="1.84614943292204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cap="none" spc="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534457625623187"/>
          <c:y val="0.11889982523683489"/>
          <c:w val="0.79247165828713717"/>
          <c:h val="0.459388770017922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'All WH'!$AIP$57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54A-4862-AA64-42FCFB1728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('All WH'!$AII$61,'All WH'!$AII$64,'All WH'!$AII$58,'All WH'!$AII$60,'All WH'!$AII$59)</c:f>
              <c:strCache>
                <c:ptCount val="5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Peliyagoda DC</c:v>
                </c:pt>
                <c:pt idx="4">
                  <c:v>Orugodawatta DC Cold Room </c:v>
                </c:pt>
              </c:strCache>
            </c:strRef>
          </c:cat>
          <c:val>
            <c:numRef>
              <c:f>('All WH'!$AIP$61,'All WH'!$AIP$64,'All WH'!$AIP$58,'All WH'!$AIP$60,'All WH'!$AIP$59)</c:f>
              <c:numCache>
                <c:formatCode>#,##0</c:formatCode>
                <c:ptCount val="5"/>
                <c:pt idx="0">
                  <c:v>1237195.135652459</c:v>
                </c:pt>
                <c:pt idx="1">
                  <c:v>0</c:v>
                </c:pt>
                <c:pt idx="2">
                  <c:v>453919.42379947525</c:v>
                </c:pt>
                <c:pt idx="3">
                  <c:v>309405.0123672132</c:v>
                </c:pt>
                <c:pt idx="4">
                  <c:v>5797.9360405246034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4A-4862-AA64-42FCFB172857}"/>
            </c:ext>
          </c:extLst>
        </c:ser>
        <c:ser>
          <c:idx val="1"/>
          <c:order val="1"/>
          <c:tx>
            <c:strRef>
              <c:f>'All WH'!$AIQ$57</c:f>
              <c:strCache>
                <c:ptCount val="1"/>
                <c:pt idx="0">
                  <c:v>Net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122052051199496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54A-4862-AA64-42FCFB17285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54A-4862-AA64-42FCFB1728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('All WH'!$AII$61,'All WH'!$AII$64,'All WH'!$AII$58,'All WH'!$AII$60,'All WH'!$AII$59)</c:f>
              <c:strCache>
                <c:ptCount val="5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Peliyagoda DC</c:v>
                </c:pt>
                <c:pt idx="4">
                  <c:v>Orugodawatta DC Cold Room </c:v>
                </c:pt>
              </c:strCache>
            </c:strRef>
          </c:cat>
          <c:val>
            <c:numRef>
              <c:f>('All WH'!$AIQ$61,'All WH'!$AIQ$64,'All WH'!$AIQ$58,'All WH'!$AIQ$60,'All WH'!$AIQ$59)</c:f>
              <c:numCache>
                <c:formatCode>#,##0</c:formatCode>
                <c:ptCount val="5"/>
                <c:pt idx="0">
                  <c:v>279832.70431475411</c:v>
                </c:pt>
                <c:pt idx="1">
                  <c:v>0</c:v>
                </c:pt>
                <c:pt idx="2">
                  <c:v>82855.840029150801</c:v>
                </c:pt>
                <c:pt idx="3">
                  <c:v>76978.775147541004</c:v>
                </c:pt>
                <c:pt idx="4">
                  <c:v>1058.3218868491829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4A-4862-AA64-42FCFB1728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1643834528"/>
        <c:axId val="-1643822016"/>
      </c:barChart>
      <c:catAx>
        <c:axId val="-164383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layout>
            <c:manualLayout>
              <c:xMode val="edge"/>
              <c:yMode val="edge"/>
              <c:x val="0.48025928189329115"/>
              <c:y val="0.7108650457758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22016"/>
        <c:crosses val="autoZero"/>
        <c:auto val="1"/>
        <c:lblAlgn val="ctr"/>
        <c:lblOffset val="100"/>
        <c:noMultiLvlLbl val="0"/>
      </c:catAx>
      <c:valAx>
        <c:axId val="-1643822016"/>
        <c:scaling>
          <c:orientation val="minMax"/>
          <c:max val="1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LKR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34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45513356147751"/>
          <c:y val="0.82666331877623533"/>
          <c:w val="0.25089721420550826"/>
          <c:h val="6.719052835330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Total Actual Sellable Volume (CBM) – Trend Analysis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Sellable Space (Monday)'!$I$1</c:f>
              <c:strCache>
                <c:ptCount val="1"/>
                <c:pt idx="0">
                  <c:v>Total CBM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Sellable Space (Monday)'!$C$2:$C$104</c:f>
              <c:numCache>
                <c:formatCode>m/d/yyyy</c:formatCode>
                <c:ptCount val="103"/>
                <c:pt idx="0">
                  <c:v>44859</c:v>
                </c:pt>
                <c:pt idx="1">
                  <c:v>44860</c:v>
                </c:pt>
                <c:pt idx="2">
                  <c:v>44861</c:v>
                </c:pt>
                <c:pt idx="3">
                  <c:v>44862</c:v>
                </c:pt>
                <c:pt idx="4">
                  <c:v>44865</c:v>
                </c:pt>
                <c:pt idx="5">
                  <c:v>44866</c:v>
                </c:pt>
                <c:pt idx="6">
                  <c:v>44867</c:v>
                </c:pt>
                <c:pt idx="7">
                  <c:v>44868</c:v>
                </c:pt>
                <c:pt idx="8">
                  <c:v>44869</c:v>
                </c:pt>
                <c:pt idx="9">
                  <c:v>44873</c:v>
                </c:pt>
                <c:pt idx="10">
                  <c:v>44874</c:v>
                </c:pt>
                <c:pt idx="11">
                  <c:v>44875</c:v>
                </c:pt>
                <c:pt idx="12">
                  <c:v>44876</c:v>
                </c:pt>
                <c:pt idx="13">
                  <c:v>44879</c:v>
                </c:pt>
                <c:pt idx="14">
                  <c:v>44880</c:v>
                </c:pt>
                <c:pt idx="15">
                  <c:v>44881</c:v>
                </c:pt>
                <c:pt idx="16">
                  <c:v>44882</c:v>
                </c:pt>
                <c:pt idx="17">
                  <c:v>44883</c:v>
                </c:pt>
                <c:pt idx="18">
                  <c:v>44886</c:v>
                </c:pt>
                <c:pt idx="19">
                  <c:v>44887</c:v>
                </c:pt>
                <c:pt idx="20">
                  <c:v>44888</c:v>
                </c:pt>
                <c:pt idx="21">
                  <c:v>44889</c:v>
                </c:pt>
                <c:pt idx="22">
                  <c:v>44890</c:v>
                </c:pt>
                <c:pt idx="23">
                  <c:v>44893</c:v>
                </c:pt>
                <c:pt idx="24">
                  <c:v>44894</c:v>
                </c:pt>
                <c:pt idx="25">
                  <c:v>44895</c:v>
                </c:pt>
                <c:pt idx="26">
                  <c:v>44896</c:v>
                </c:pt>
                <c:pt idx="27">
                  <c:v>44897</c:v>
                </c:pt>
                <c:pt idx="28">
                  <c:v>44900</c:v>
                </c:pt>
                <c:pt idx="29">
                  <c:v>44901</c:v>
                </c:pt>
                <c:pt idx="30">
                  <c:v>44903</c:v>
                </c:pt>
                <c:pt idx="31">
                  <c:v>44904</c:v>
                </c:pt>
                <c:pt idx="32">
                  <c:v>44907</c:v>
                </c:pt>
                <c:pt idx="33">
                  <c:v>44908</c:v>
                </c:pt>
                <c:pt idx="34">
                  <c:v>44909</c:v>
                </c:pt>
                <c:pt idx="35">
                  <c:v>44910</c:v>
                </c:pt>
                <c:pt idx="36">
                  <c:v>44911</c:v>
                </c:pt>
                <c:pt idx="37">
                  <c:v>44914</c:v>
                </c:pt>
                <c:pt idx="38">
                  <c:v>44915</c:v>
                </c:pt>
                <c:pt idx="39">
                  <c:v>44916</c:v>
                </c:pt>
                <c:pt idx="40">
                  <c:v>44917</c:v>
                </c:pt>
                <c:pt idx="41">
                  <c:v>44918</c:v>
                </c:pt>
                <c:pt idx="42">
                  <c:v>44922</c:v>
                </c:pt>
                <c:pt idx="43">
                  <c:v>44923</c:v>
                </c:pt>
                <c:pt idx="44">
                  <c:v>44924</c:v>
                </c:pt>
                <c:pt idx="45">
                  <c:v>44925</c:v>
                </c:pt>
                <c:pt idx="46">
                  <c:v>44928</c:v>
                </c:pt>
                <c:pt idx="47">
                  <c:v>44929</c:v>
                </c:pt>
                <c:pt idx="48">
                  <c:v>44930</c:v>
                </c:pt>
                <c:pt idx="49">
                  <c:v>44931</c:v>
                </c:pt>
                <c:pt idx="50">
                  <c:v>44935</c:v>
                </c:pt>
                <c:pt idx="51">
                  <c:v>44936</c:v>
                </c:pt>
                <c:pt idx="52">
                  <c:v>44937</c:v>
                </c:pt>
                <c:pt idx="53">
                  <c:v>44938</c:v>
                </c:pt>
                <c:pt idx="54">
                  <c:v>44939</c:v>
                </c:pt>
                <c:pt idx="55">
                  <c:v>44942</c:v>
                </c:pt>
                <c:pt idx="56">
                  <c:v>44943</c:v>
                </c:pt>
                <c:pt idx="57">
                  <c:v>44944</c:v>
                </c:pt>
                <c:pt idx="58">
                  <c:v>44945</c:v>
                </c:pt>
                <c:pt idx="59">
                  <c:v>44946</c:v>
                </c:pt>
                <c:pt idx="60">
                  <c:v>44949</c:v>
                </c:pt>
                <c:pt idx="61">
                  <c:v>44950</c:v>
                </c:pt>
                <c:pt idx="62">
                  <c:v>44951</c:v>
                </c:pt>
                <c:pt idx="63">
                  <c:v>44952</c:v>
                </c:pt>
                <c:pt idx="64">
                  <c:v>44953</c:v>
                </c:pt>
                <c:pt idx="65">
                  <c:v>44956</c:v>
                </c:pt>
                <c:pt idx="66">
                  <c:v>44957</c:v>
                </c:pt>
                <c:pt idx="67">
                  <c:v>44958</c:v>
                </c:pt>
                <c:pt idx="68">
                  <c:v>44959</c:v>
                </c:pt>
                <c:pt idx="69">
                  <c:v>44960</c:v>
                </c:pt>
                <c:pt idx="70">
                  <c:v>44963</c:v>
                </c:pt>
                <c:pt idx="71">
                  <c:v>44964</c:v>
                </c:pt>
                <c:pt idx="72">
                  <c:v>44965</c:v>
                </c:pt>
                <c:pt idx="73">
                  <c:v>44966</c:v>
                </c:pt>
                <c:pt idx="74">
                  <c:v>44967</c:v>
                </c:pt>
                <c:pt idx="75">
                  <c:v>44970</c:v>
                </c:pt>
                <c:pt idx="76">
                  <c:v>44971</c:v>
                </c:pt>
                <c:pt idx="77">
                  <c:v>44972</c:v>
                </c:pt>
                <c:pt idx="78">
                  <c:v>44973</c:v>
                </c:pt>
                <c:pt idx="79">
                  <c:v>44974</c:v>
                </c:pt>
                <c:pt idx="80">
                  <c:v>44977</c:v>
                </c:pt>
                <c:pt idx="81">
                  <c:v>44978</c:v>
                </c:pt>
                <c:pt idx="82">
                  <c:v>44979</c:v>
                </c:pt>
                <c:pt idx="83">
                  <c:v>44980</c:v>
                </c:pt>
                <c:pt idx="84">
                  <c:v>44981</c:v>
                </c:pt>
                <c:pt idx="85">
                  <c:v>44984</c:v>
                </c:pt>
                <c:pt idx="86">
                  <c:v>44985</c:v>
                </c:pt>
                <c:pt idx="87">
                  <c:v>44986</c:v>
                </c:pt>
                <c:pt idx="88">
                  <c:v>44987</c:v>
                </c:pt>
                <c:pt idx="89">
                  <c:v>44988</c:v>
                </c:pt>
                <c:pt idx="90">
                  <c:v>44992</c:v>
                </c:pt>
                <c:pt idx="91">
                  <c:v>44993</c:v>
                </c:pt>
                <c:pt idx="92">
                  <c:v>44994</c:v>
                </c:pt>
                <c:pt idx="93">
                  <c:v>44995</c:v>
                </c:pt>
                <c:pt idx="94">
                  <c:v>44998</c:v>
                </c:pt>
                <c:pt idx="95">
                  <c:v>44999</c:v>
                </c:pt>
                <c:pt idx="96">
                  <c:v>45000</c:v>
                </c:pt>
                <c:pt idx="97">
                  <c:v>45001</c:v>
                </c:pt>
                <c:pt idx="98">
                  <c:v>45002</c:v>
                </c:pt>
                <c:pt idx="99">
                  <c:v>45005</c:v>
                </c:pt>
                <c:pt idx="100">
                  <c:v>45006</c:v>
                </c:pt>
                <c:pt idx="101">
                  <c:v>45007</c:v>
                </c:pt>
                <c:pt idx="102">
                  <c:v>45008</c:v>
                </c:pt>
              </c:numCache>
            </c:numRef>
          </c:cat>
          <c:val>
            <c:numRef>
              <c:f>'Average Sellable Space (Monday)'!$I$2:$I$104</c:f>
              <c:numCache>
                <c:formatCode>#,##0</c:formatCode>
                <c:ptCount val="103"/>
                <c:pt idx="0">
                  <c:v>10472</c:v>
                </c:pt>
                <c:pt idx="1">
                  <c:v>9832</c:v>
                </c:pt>
                <c:pt idx="2">
                  <c:v>9494</c:v>
                </c:pt>
                <c:pt idx="3">
                  <c:v>9110</c:v>
                </c:pt>
                <c:pt idx="4">
                  <c:v>9681</c:v>
                </c:pt>
                <c:pt idx="5">
                  <c:v>10170</c:v>
                </c:pt>
                <c:pt idx="6">
                  <c:v>10066</c:v>
                </c:pt>
                <c:pt idx="7">
                  <c:v>10288</c:v>
                </c:pt>
                <c:pt idx="8">
                  <c:v>10013</c:v>
                </c:pt>
                <c:pt idx="9">
                  <c:v>10636</c:v>
                </c:pt>
                <c:pt idx="10">
                  <c:v>10828.668100000001</c:v>
                </c:pt>
                <c:pt idx="11">
                  <c:v>10717.653300000002</c:v>
                </c:pt>
                <c:pt idx="12">
                  <c:v>10194.2461</c:v>
                </c:pt>
                <c:pt idx="13">
                  <c:v>10842.3109</c:v>
                </c:pt>
                <c:pt idx="14">
                  <c:v>10083.9409</c:v>
                </c:pt>
                <c:pt idx="15">
                  <c:v>10034</c:v>
                </c:pt>
                <c:pt idx="16">
                  <c:v>10062</c:v>
                </c:pt>
                <c:pt idx="17">
                  <c:v>10341</c:v>
                </c:pt>
                <c:pt idx="18">
                  <c:v>10224</c:v>
                </c:pt>
                <c:pt idx="19">
                  <c:v>9902</c:v>
                </c:pt>
                <c:pt idx="20">
                  <c:v>9694</c:v>
                </c:pt>
                <c:pt idx="21">
                  <c:v>9536</c:v>
                </c:pt>
                <c:pt idx="22">
                  <c:v>10167</c:v>
                </c:pt>
                <c:pt idx="23">
                  <c:v>10822</c:v>
                </c:pt>
                <c:pt idx="24">
                  <c:v>10503.254499999997</c:v>
                </c:pt>
                <c:pt idx="25">
                  <c:v>10664</c:v>
                </c:pt>
                <c:pt idx="26">
                  <c:v>10602</c:v>
                </c:pt>
                <c:pt idx="27">
                  <c:v>10780.945099999995</c:v>
                </c:pt>
                <c:pt idx="28">
                  <c:v>11845</c:v>
                </c:pt>
                <c:pt idx="29">
                  <c:v>11678</c:v>
                </c:pt>
                <c:pt idx="30">
                  <c:v>11835</c:v>
                </c:pt>
                <c:pt idx="31">
                  <c:v>12006</c:v>
                </c:pt>
                <c:pt idx="32">
                  <c:v>12476</c:v>
                </c:pt>
                <c:pt idx="33">
                  <c:v>12711</c:v>
                </c:pt>
                <c:pt idx="34">
                  <c:v>12810</c:v>
                </c:pt>
                <c:pt idx="35">
                  <c:v>12932</c:v>
                </c:pt>
                <c:pt idx="36">
                  <c:v>12909</c:v>
                </c:pt>
                <c:pt idx="37">
                  <c:v>13535</c:v>
                </c:pt>
                <c:pt idx="38">
                  <c:v>13746</c:v>
                </c:pt>
                <c:pt idx="39">
                  <c:v>14097.536599999999</c:v>
                </c:pt>
                <c:pt idx="40">
                  <c:v>14794</c:v>
                </c:pt>
                <c:pt idx="41">
                  <c:v>15176</c:v>
                </c:pt>
                <c:pt idx="42">
                  <c:v>15379</c:v>
                </c:pt>
                <c:pt idx="43" formatCode="_(* #,##0_);_(* \(#,##0\);_(* &quot;-&quot;??_);_(@_)">
                  <c:v>15568.097000000002</c:v>
                </c:pt>
                <c:pt idx="44" formatCode="_(* #,##0_);_(* \(#,##0\);_(* &quot;-&quot;??_);_(@_)">
                  <c:v>15280</c:v>
                </c:pt>
                <c:pt idx="45" formatCode="_(* #,##0_);_(* \(#,##0\);_(* &quot;-&quot;??_);_(@_)">
                  <c:v>14726</c:v>
                </c:pt>
                <c:pt idx="46" formatCode="_(* #,##0_);_(* \(#,##0\);_(* &quot;-&quot;??_);_(@_)">
                  <c:v>14390.222199999997</c:v>
                </c:pt>
                <c:pt idx="47" formatCode="_(* #,##0_);_(* \(#,##0\);_(* &quot;-&quot;??_);_(@_)">
                  <c:v>14639.205299999998</c:v>
                </c:pt>
                <c:pt idx="48" formatCode="_(* #,##0_);_(* \(#,##0\);_(* &quot;-&quot;??_);_(@_)">
                  <c:v>14056.068199999994</c:v>
                </c:pt>
                <c:pt idx="49" formatCode="_(* #,##0_);_(* \(#,##0\);_(* &quot;-&quot;??_);_(@_)">
                  <c:v>14010.195500000003</c:v>
                </c:pt>
                <c:pt idx="50" formatCode="_(* #,##0_);_(* \(#,##0\);_(* &quot;-&quot;??_);_(@_)">
                  <c:v>14649.064599999998</c:v>
                </c:pt>
                <c:pt idx="51" formatCode="_(* #,##0_);_(* \(#,##0\);_(* &quot;-&quot;??_);_(@_)">
                  <c:v>14379.504300000001</c:v>
                </c:pt>
                <c:pt idx="52" formatCode="_(* #,##0_);_(* \(#,##0\);_(* &quot;-&quot;??_);_(@_)">
                  <c:v>13829.158000000001</c:v>
                </c:pt>
                <c:pt idx="53" formatCode="_(* #,##0_);_(* \(#,##0\);_(* &quot;-&quot;??_);_(@_)">
                  <c:v>13702.983700000004</c:v>
                </c:pt>
                <c:pt idx="54" formatCode="_(* #,##0_);_(* \(#,##0\);_(* &quot;-&quot;??_);_(@_)">
                  <c:v>13285.889600000004</c:v>
                </c:pt>
                <c:pt idx="55" formatCode="_(* #,##0_);_(* \(#,##0\);_(* &quot;-&quot;??_);_(@_)">
                  <c:v>13407.550399999998</c:v>
                </c:pt>
                <c:pt idx="56" formatCode="_(* #,##0_);_(* \(#,##0\);_(* &quot;-&quot;??_);_(@_)">
                  <c:v>13404.920000000002</c:v>
                </c:pt>
                <c:pt idx="57" formatCode="_(* #,##0_);_(* \(#,##0\);_(* &quot;-&quot;??_);_(@_)">
                  <c:v>13815.4949</c:v>
                </c:pt>
                <c:pt idx="58" formatCode="_(* #,##0_);_(* \(#,##0\);_(* &quot;-&quot;??_);_(@_)">
                  <c:v>13651.629299999999</c:v>
                </c:pt>
                <c:pt idx="59" formatCode="_(* #,##0_);_(* \(#,##0\);_(* &quot;-&quot;??_);_(@_)">
                  <c:v>13211.0677</c:v>
                </c:pt>
                <c:pt idx="60" formatCode="_(* #,##0_);_(* \(#,##0\);_(* &quot;-&quot;??_);_(@_)">
                  <c:v>14502.334899999996</c:v>
                </c:pt>
                <c:pt idx="61" formatCode="_(* #,##0_);_(* \(#,##0\);_(* &quot;-&quot;??_);_(@_)">
                  <c:v>13977.645399999999</c:v>
                </c:pt>
                <c:pt idx="62" formatCode="_(* #,##0_);_(* \(#,##0\);_(* &quot;-&quot;??_);_(@_)">
                  <c:v>14148.111700000001</c:v>
                </c:pt>
                <c:pt idx="63" formatCode="_(* #,##0_);_(* \(#,##0\);_(* &quot;-&quot;??_);_(@_)">
                  <c:v>14010.570299999996</c:v>
                </c:pt>
                <c:pt idx="64" formatCode="_(* #,##0_);_(* \(#,##0\);_(* &quot;-&quot;??_);_(@_)">
                  <c:v>13723.7808</c:v>
                </c:pt>
                <c:pt idx="65" formatCode="_(* #,##0_);_(* \(#,##0\);_(* &quot;-&quot;??_);_(@_)">
                  <c:v>14443.6744</c:v>
                </c:pt>
                <c:pt idx="66" formatCode="_(* #,##0_);_(* \(#,##0\);_(* &quot;-&quot;??_);_(@_)">
                  <c:v>14239.100800000004</c:v>
                </c:pt>
                <c:pt idx="67" formatCode="_(* #,##0_);_(* \(#,##0\);_(* &quot;-&quot;??_);_(@_)">
                  <c:v>14230</c:v>
                </c:pt>
                <c:pt idx="68" formatCode="_(* #,##0_);_(* \(#,##0\);_(* &quot;-&quot;??_);_(@_)">
                  <c:v>14433.883500000002</c:v>
                </c:pt>
                <c:pt idx="69" formatCode="_(* #,##0_);_(* \(#,##0\);_(* &quot;-&quot;??_);_(@_)">
                  <c:v>14188.5538</c:v>
                </c:pt>
                <c:pt idx="70" formatCode="_(* #,##0_);_(* \(#,##0\);_(* &quot;-&quot;??_);_(@_)">
                  <c:v>14739.3784</c:v>
                </c:pt>
                <c:pt idx="71" formatCode="_(* #,##0_);_(* \(#,##0\);_(* &quot;-&quot;??_);_(@_)">
                  <c:v>14784.888799999999</c:v>
                </c:pt>
                <c:pt idx="72" formatCode="_(* #,##0_);_(* \(#,##0\);_(* &quot;-&quot;??_);_(@_)">
                  <c:v>14307.865200000004</c:v>
                </c:pt>
                <c:pt idx="73" formatCode="_(* #,##0_);_(* \(#,##0\);_(* &quot;-&quot;??_);_(@_)">
                  <c:v>14099.929000000002</c:v>
                </c:pt>
                <c:pt idx="74" formatCode="_(* #,##0_);_(* \(#,##0\);_(* &quot;-&quot;??_);_(@_)">
                  <c:v>14215</c:v>
                </c:pt>
                <c:pt idx="75" formatCode="_(* #,##0_);_(* \(#,##0\);_(* &quot;-&quot;??_);_(@_)">
                  <c:v>15375.536999999997</c:v>
                </c:pt>
                <c:pt idx="76" formatCode="_(* #,##0_);_(* \(#,##0\);_(* &quot;-&quot;??_);_(@_)">
                  <c:v>15742.761200000001</c:v>
                </c:pt>
                <c:pt idx="77" formatCode="_(* #,##0_);_(* \(#,##0\);_(* &quot;-&quot;??_);_(@_)">
                  <c:v>15604.3439</c:v>
                </c:pt>
                <c:pt idx="78" formatCode="_(* #,##0_);_(* \(#,##0\);_(* &quot;-&quot;??_);_(@_)">
                  <c:v>15984.598900000003</c:v>
                </c:pt>
                <c:pt idx="79" formatCode="_(* #,##0_);_(* \(#,##0\);_(* &quot;-&quot;??_);_(@_)">
                  <c:v>15778.068700000003</c:v>
                </c:pt>
                <c:pt idx="80" formatCode="_(* #,##0_);_(* \(#,##0\);_(* &quot;-&quot;??_);_(@_)">
                  <c:v>15947.508799999996</c:v>
                </c:pt>
                <c:pt idx="81" formatCode="_(* #,##0_);_(* \(#,##0\);_(* &quot;-&quot;??_);_(@_)">
                  <c:v>15751.080099999997</c:v>
                </c:pt>
                <c:pt idx="82" formatCode="_(* #,##0_);_(* \(#,##0\);_(* &quot;-&quot;??_);_(@_)">
                  <c:v>15443.994799999997</c:v>
                </c:pt>
                <c:pt idx="83" formatCode="_(* #,##0_);_(* \(#,##0\);_(* &quot;-&quot;??_);_(@_)">
                  <c:v>15773.705699999999</c:v>
                </c:pt>
                <c:pt idx="84" formatCode="_(* #,##0_);_(* \(#,##0\);_(* &quot;-&quot;??_);_(@_)">
                  <c:v>15559.959800000001</c:v>
                </c:pt>
                <c:pt idx="85" formatCode="_(* #,##0_);_(* \(#,##0\);_(* &quot;-&quot;??_);_(@_)">
                  <c:v>16285.326099999997</c:v>
                </c:pt>
                <c:pt idx="86" formatCode="_(* #,##0_);_(* \(#,##0\);_(* &quot;-&quot;??_);_(@_)">
                  <c:v>16135.268699999999</c:v>
                </c:pt>
                <c:pt idx="87" formatCode="_(* #,##0_);_(* \(#,##0\);_(* &quot;-&quot;??_);_(@_)">
                  <c:v>15636.4584</c:v>
                </c:pt>
                <c:pt idx="88" formatCode="_(* #,##0_);_(* \(#,##0\);_(* &quot;-&quot;??_);_(@_)">
                  <c:v>15313.488400000002</c:v>
                </c:pt>
                <c:pt idx="89" formatCode="_(* #,##0_);_(* \(#,##0\);_(* &quot;-&quot;??_);_(@_)">
                  <c:v>15193.260700000003</c:v>
                </c:pt>
                <c:pt idx="90" formatCode="_(* #,##0_);_(* \(#,##0\);_(* &quot;-&quot;??_);_(@_)">
                  <c:v>15492.278499999997</c:v>
                </c:pt>
                <c:pt idx="91" formatCode="_(* #,##0_);_(* \(#,##0\);_(* &quot;-&quot;??_);_(@_)">
                  <c:v>15166.6077</c:v>
                </c:pt>
                <c:pt idx="92" formatCode="_(* #,##0_);_(* \(#,##0\);_(* &quot;-&quot;??_);_(@_)">
                  <c:v>15087.955700000004</c:v>
                </c:pt>
                <c:pt idx="93" formatCode="_(* #,##0_);_(* \(#,##0\);_(* &quot;-&quot;??_);_(@_)">
                  <c:v>14834.051699999998</c:v>
                </c:pt>
                <c:pt idx="94" formatCode="_(* #,##0_);_(* \(#,##0\);_(* &quot;-&quot;??_);_(@_)">
                  <c:v>15217.7819</c:v>
                </c:pt>
                <c:pt idx="95" formatCode="General">
                  <c:v>15693.021199999999</c:v>
                </c:pt>
                <c:pt idx="96" formatCode="General">
                  <c:v>15533.757500000003</c:v>
                </c:pt>
                <c:pt idx="97" formatCode="General">
                  <c:v>15910.065199999999</c:v>
                </c:pt>
                <c:pt idx="98" formatCode="General">
                  <c:v>16086.3279</c:v>
                </c:pt>
                <c:pt idx="99" formatCode="General">
                  <c:v>17022.046900000001</c:v>
                </c:pt>
                <c:pt idx="100" formatCode="General">
                  <c:v>16932.377699999997</c:v>
                </c:pt>
                <c:pt idx="101" formatCode="General">
                  <c:v>16770.329599999997</c:v>
                </c:pt>
                <c:pt idx="102" formatCode="General">
                  <c:v>16748.510899999997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CA-4EDF-969C-226714FCC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218560"/>
        <c:axId val="92204416"/>
      </c:lineChart>
      <c:dateAx>
        <c:axId val="92218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Date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04416"/>
        <c:crosses val="autoZero"/>
        <c:auto val="1"/>
        <c:lblOffset val="100"/>
        <c:baseTimeUnit val="days"/>
      </c:dateAx>
      <c:valAx>
        <c:axId val="92204416"/>
        <c:scaling>
          <c:orientation val="minMax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Actual Sellable Volume (CBM)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8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plant).xlsx]Utilization!PivotTable1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DC Occupancy  </a:t>
            </a:r>
          </a:p>
        </c:rich>
      </c:tx>
      <c:layout>
        <c:manualLayout>
          <c:xMode val="edge"/>
          <c:yMode val="edge"/>
          <c:x val="0.40218388030394175"/>
          <c:y val="3.06222809999839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88323917137476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5031890707865561E-3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5856873822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094728423926364E-2"/>
              <c:y val="8.311443563339895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6617926932756097E-2"/>
                  <c:h val="6.1134814295262879E-2"/>
                </c:manualLayout>
              </c15:layout>
            </c:ext>
          </c:extLst>
        </c:dLbl>
      </c:pivotFmt>
      <c:pivotFmt>
        <c:idx val="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624E-3"/>
              <c:y val="2.354048964218451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824858757062146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2.824858757062144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189018324187211E-2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4.708097928436911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2704946011568055E-3"/>
              <c:y val="1.88323917137476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6352473005783529E-3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1.88323917137476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412429378531064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472E-2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7928436911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290643344039424E-2"/>
              <c:y val="8.3299937979173903E-4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2998918205750262E-2"/>
              <c:y val="1.88323847322742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66757152943E-3"/>
              <c:y val="9.416195856873909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176236502890765E-3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17623650289143E-3"/>
              <c:y val="1.88323917137476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6352473005783529E-3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0146723617842588E-17"/>
              <c:y val="2.824858757062146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937853106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1134100135730538E-3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378033378576099E-3"/>
              <c:y val="1.883239171374773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2.824702729693371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372636373143073E-3"/>
              <c:y val="4.70783788282228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4527274628913E-3"/>
              <c:y val="9.415675765644572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207E-3"/>
              <c:y val="4.70783788282228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2.353918941411140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567576564452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layout>
            <c:manualLayout>
              <c:x val="1.3912075681691666E-2"/>
              <c:y val="9.4156757656445496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layout>
            <c:manualLayout>
              <c:x val="4.6373585605638179E-3"/>
              <c:y val="1.41235136484668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15E-2"/>
              <c:y val="9.415675765644572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23E-2"/>
              <c:y val="-4.707837882822371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layout>
            <c:manualLayout>
              <c:x val="1.0186319820605272E-2"/>
              <c:y val="9.415675765644593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13515312891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567576564452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179E-3"/>
              <c:y val="9.41567576564452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layout>
            <c:manualLayout>
              <c:x val="9.6133921365100794E-3"/>
              <c:y val="1.875783961382486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3.6369759604480295E-3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917137476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5856873822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1512146593498286E-3"/>
              <c:y val="1.412429378531064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4399902774738386E-3"/>
              <c:y val="1.5373608960756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4399902774739167E-3"/>
              <c:y val="2.56226816012602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2.1466634258246651E-3"/>
              <c:y val="1.02490726405040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785759979396858E-2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931561880903514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3726247523613896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781714055359065E-2"/>
              <c:y val="-8.63140995817466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4851272400784E-3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9928665010362E-2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4.6373585605639029E-3"/>
              <c:y val="-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378036648374571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1512146593498286E-3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861863677724757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2646256538622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1512146593498286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540989202313677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23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604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226820027146108E-2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54542201423486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1134109945123714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264623365003792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2646256538622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layout>
            <c:manualLayout>
              <c:x val="0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179E-3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624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069500494408064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4321419338441606E-3"/>
              <c:y val="2.82485770984114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1134109945123714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18901832418728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1134109945122968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189018324187286E-2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706859054971966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069500494408149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750821214126112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826402125443793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574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207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37772425454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1584121684288631E-2"/>
                  <c:h val="6.5842910478331435E-2"/>
                </c:manualLayout>
              </c15:layout>
            </c:ext>
          </c:extLst>
        </c:dLbl>
      </c:pivotFmt>
      <c:pivotFmt>
        <c:idx val="1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354048091534284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604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1.412428854920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4.708096183068616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624E-3"/>
              <c:y val="4.7080961830684876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-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4.708096183068552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744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8.63140995817466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842E-2"/>
              <c:y val="4.708096183068616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179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-8.63140995817466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88144426361E-3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94072213181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91108318921E-3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851805329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7628885272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4.708096183068552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1.412428854920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624E-3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412428854920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8664E-3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9389E-3"/>
              <c:y val="4.708096183068616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88323847322742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9.416192366137190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-8.63140995817466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88144424661E-3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91108319771E-3"/>
              <c:y val="9.416192366137190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91108319771E-3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7036106589E-2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2.35404809153427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1.412428854920563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65708601956E-3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1998673788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3141720391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54278135079E-3"/>
              <c:y val="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505472083101294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-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3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91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1998673788E-2"/>
              <c:y val="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65708601956E-3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-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0855627186E-2"/>
              <c:y val="-2.15785248954366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3141720306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0971258058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2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09712580584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3141720306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91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0855627186E-2"/>
              <c:y val="-4.31570497908733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3E-2"/>
              <c:y val="9.41619236613714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907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085562718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06E-2"/>
              <c:y val="9.4161923661370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91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0855627186E-2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236613712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412428854920567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562E-2"/>
              <c:y val="9.41619236613710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93E-2"/>
              <c:y val="4.70809618306853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1998673746E-2"/>
              <c:y val="9.41619236613712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4284766991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8856953398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3141720306E-2"/>
              <c:y val="4.708096183068574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4.708281541185974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1584121684288631E-2"/>
                  <c:h val="6.5842910478331435E-2"/>
                </c:manualLayout>
              </c15:layout>
            </c:ext>
          </c:extLst>
        </c:dLbl>
      </c:pivotFmt>
      <c:pivotFmt>
        <c:idx val="2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7528864521063877E-4"/>
              <c:y val="-5.64971541968228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56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7240568787900485E-3"/>
              <c:y val="1.88323847322742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905071098487481E-2"/>
              <c:y val="1.883238473227433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617217063636998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3620291885011417E-3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3620291885011417E-3"/>
              <c:y val="2.82485770984114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3521E-3"/>
              <c:y val="2.354048091534291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2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91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847322742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91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3521E-3"/>
              <c:y val="2.824857709841148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7328148001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732814800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2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7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3.295667328148001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611306747034E-17"/>
              <c:y val="2.35404809153427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5942505309E-3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885492057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611306747034E-17"/>
              <c:y val="2.35404809153428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770984114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2.644983815961883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5121E-3"/>
              <c:y val="3.085814451955535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5121E-3"/>
              <c:y val="2.20415317996823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498381596188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2.64498381596188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3322543974591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9969597573293542E-17"/>
              <c:y val="2.64498381596188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10142196973521E-3"/>
              <c:y val="2.204153179968239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8.832837848223329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29981571713981E-3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503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7003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279205894922235E-2"/>
              <c:y val="4.416418924111664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0558411789844467E-3"/>
              <c:y val="3.533135139289327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7561638036220888E-2"/>
              <c:y val="1.755007134175337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5075994486711149E-16"/>
              <c:y val="3.09149324687816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4467E-3"/>
              <c:y val="8.832837848223329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4467E-3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3713E-3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881431741806069E-2"/>
              <c:y val="1.34784519367066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3713E-3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0558411789844467E-3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6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7.5379972433555746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558411789844467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09149324687816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3268790057802232E-16"/>
              <c:y val="3.09149324687816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3268790057802232E-16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3268790057802232E-16"/>
              <c:y val="2.649851354466994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3.533135139289324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3268790057802232E-16"/>
              <c:y val="3.533135139289327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09149324687816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7003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3.533135139289327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9363971307672333E-17"/>
              <c:y val="1.705372696110306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9363971307672333E-17"/>
              <c:y val="1.7053726961102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558059044165460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05372696110302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9363971307672333E-17"/>
              <c:y val="8.526863480551533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3.6188027290901589E-3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8094013645450794E-3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6188027290901589E-3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0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131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463E-3"/>
              <c:y val="2.6498513544669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44E-2"/>
              <c:y val="3.091495856472303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8.832837848223329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8.83283784822328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463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794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-8.0966744940633811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4.416418924111664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8094013645450794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3.533135139289331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3.09149324687816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131E-3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3.09149324687816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3.09149324687816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1236274161516191E-8"/>
              <c:y val="8.8328378482233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5.6308570464642861E-2"/>
                  <c:h val="5.7347373604350764E-2"/>
                </c:manualLayout>
              </c15:layout>
            </c:ext>
          </c:extLst>
        </c:dLbl>
      </c:pivotFmt>
      <c:pivotFmt>
        <c:idx val="4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8.8328378482232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131E-3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3.09149324687816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1.324925677233497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1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850960821004678E-2"/>
              <c:y val="2.14063295241361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-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-4.41641892411167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6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463E-3"/>
              <c:y val="2.6498513544669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8094013645450794E-3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094013645450131E-3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7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5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70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091493246878169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820946205582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76656756964466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2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3.3171975144505581E-17"/>
              <c:y val="3.09149324687816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208209462055832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1.324925677233499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6343950289011162E-17"/>
              <c:y val="2.64985135446699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69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9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4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0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5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0740740740740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7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5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18518518518519E-3"/>
              <c:y val="2.777777777777777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0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18518518517841E-3"/>
              <c:y val="2.777777777777777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7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0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8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8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18518518518519E-3"/>
              <c:y val="1.85185185185185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8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58628470423159E-2"/>
              <c:y val="1.0253423684311403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1095196009649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3567533274413509E-2"/>
              <c:y val="-8.202738947449122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7443971352817368E-2"/>
              <c:y val="-1.34228187919463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1095196009649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199028059293267E-2"/>
              <c:y val="4.451158177338347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0709419033431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6064128550140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6870741654252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60644835747642E-2"/>
              <c:y val="8.902316354676694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07096557165095E-2"/>
              <c:y val="-8.1603623892509656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68709487519459E-2"/>
              <c:y val="4.4511581773383066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0709655716509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07096557165095E-2"/>
              <c:y val="-4.451158177338347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6870948751945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68709487519459E-2"/>
              <c:y val="-4.451158177338347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68709487519494E-2"/>
              <c:y val="-2.040090597312741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45483626810733E-2"/>
              <c:y val="-8.1603623892509656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07096557165095E-2"/>
              <c:y val="1.335347453201504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0709655716495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68709487519494E-2"/>
              <c:y val="1.335347453201504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45483626810802E-2"/>
              <c:y val="2.670694906403008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22257766101936E-2"/>
              <c:y val="8.902316354676694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86E-2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4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858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7648582739E-2"/>
              <c:y val="-2.017272123771684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44555231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59431262463521E-2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2084164220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96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858E-2"/>
              <c:y val="8.80274368351155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929E-2"/>
              <c:y val="1.320411552526734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71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1616746072E-2"/>
              <c:y val="8.80274368351155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858E-2"/>
              <c:y val="1.76054873670231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78E-2"/>
              <c:y val="-2.017272123771684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96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44E-2"/>
              <c:y val="8.802743683511480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15E-2"/>
              <c:y val="1.320411552526734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96825530662866E-3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5942859551957E-2"/>
              <c:y val="-2.017272123771684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96825530663577E-3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9.6996825530665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55194920849063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8198095318397862E-3"/>
              <c:y val="4.034544247543369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86E-2"/>
              <c:y val="-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161674610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9682553066357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7459428595519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929E-2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597460424531431E-3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2978920680425718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7648582739E-2"/>
              <c:y val="2.20068592087789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597472277615648E-3"/>
              <c:y val="1.320411552526725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858E-2"/>
              <c:y val="8.80274368351155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8069403913E-2"/>
              <c:y val="8.80274368351155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491885719103914E-2"/>
              <c:y val="-4.034544247543369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858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5942859551957E-2"/>
              <c:y val="-2.017272123771684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858E-2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8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15E-2"/>
              <c:y val="1.320411552526734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38666722878999E-2"/>
              <c:y val="4.034544247543369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59428595519428E-2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dLbl>
          <c:idx val="0"/>
          <c:layout>
            <c:manualLayout>
              <c:x val="1.7459431262463486E-2"/>
              <c:y val="-2.0172721237716847E-17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9099052104105728E-2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79241683284765E-2"/>
              <c:y val="4.034544247543369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487634430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487634430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1616746142E-2"/>
              <c:y val="1.76054873670231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858E-2"/>
              <c:y val="-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1616746072E-2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858E-2"/>
              <c:y val="-8.80274368351155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715911114858596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8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4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161674607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96825530662866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79238127359287E-2"/>
              <c:y val="-4.034544247543369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dLbl>
          <c:idx val="0"/>
          <c:layout>
            <c:manualLayout>
              <c:x val="3.1038988911046117E-2"/>
              <c:y val="-4.034544247543369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dLbl>
          <c:idx val="0"/>
          <c:layout>
            <c:manualLayout>
              <c:x val="1.7459431262463521E-2"/>
              <c:y val="-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dLbl>
          <c:idx val="0"/>
          <c:layout>
            <c:manualLayout>
              <c:x val="2.133930487634430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dLbl>
          <c:idx val="0"/>
          <c:layout>
            <c:manualLayout>
              <c:x val="1.9399368069403913E-2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dLbl>
          <c:idx val="0"/>
          <c:layout>
            <c:manualLayout>
              <c:x val="2.1339304876344303E-2"/>
              <c:y val="-2.017272123771684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78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59428595519501E-2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339301616746142E-2"/>
              <c:y val="4.40137184175577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71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3E-2"/>
              <c:y val="8.80274368351155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3961906367964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19492084906215E-2"/>
              <c:y val="8.802743683511480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858E-2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9936510613271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7955557429296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996825530664289E-3"/>
              <c:y val="-8.069088495086738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43225745446337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69174949403749E-2"/>
              <c:y val="-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369174949403749E-2"/>
              <c:y val="1.30932919388277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58422464582482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179927434224876E-2"/>
              <c:y val="-4.36443064627599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39E-2"/>
              <c:y val="4.36443064627593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647175618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85096426660372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1734477948476143E-3"/>
              <c:y val="-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850964266603797E-2"/>
              <c:y val="4.364430646275915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0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67E-2"/>
              <c:y val="-2.0003409381005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2233157806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3645310933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3387571756937473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39E-2"/>
              <c:y val="-1.30932919388278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68565382557331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850964266603727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0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13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136E-2"/>
              <c:y val="-8.728861292551929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27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647175618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273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57635406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1527081108E-2"/>
              <c:y val="-4.36443064627599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02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5057464058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685650114928116E-2"/>
              <c:y val="1.30932919388278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435138749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02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4859096584545168E-2"/>
              <c:y val="4.0006818762011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273E-2"/>
              <c:y val="1.30932919388278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05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273E-2"/>
              <c:y val="8.728861292551830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dLbl>
          <c:idx val="0"/>
          <c:layout>
            <c:manualLayout>
              <c:x val="1.8346895589695229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dLbl>
          <c:idx val="0"/>
          <c:layout>
            <c:manualLayout>
              <c:x val="1.8346895589695159E-2"/>
              <c:y val="1.30932919388278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dLbl>
          <c:idx val="0"/>
          <c:layout>
            <c:manualLayout>
              <c:x val="2.018158514866474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1527081108E-2"/>
              <c:y val="4.364430646275915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152708124E-2"/>
              <c:y val="-4.0006818762011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02E-2"/>
              <c:y val="1.30932919388278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3645310863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514866474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558969522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0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05E-2"/>
              <c:y val="4.364430646275915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691278665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069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6912786659E-2"/>
              <c:y val="1.74577225851038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0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647175618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5589695159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5589695229E-2"/>
              <c:y val="4.364430646275874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9355032943512396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691278665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dLbl>
          <c:idx val="0"/>
          <c:layout>
            <c:manualLayout>
              <c:x val="2.3850960821004678E-2"/>
              <c:y val="1.7457722585103801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dLbl>
          <c:idx val="0"/>
          <c:layout>
            <c:manualLayout>
              <c:x val="1.6512203645310933E-2"/>
              <c:y val="4.3644306462759554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dLbl>
          <c:idx val="0"/>
          <c:layout>
            <c:manualLayout>
              <c:x val="1.8346892939234232E-2"/>
              <c:y val="4.3644306462759554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dLbl>
          <c:idx val="0"/>
          <c:layout>
            <c:manualLayout>
              <c:x val="1.2842825057464058E-2"/>
              <c:y val="-4.3644306462759554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138E-2"/>
              <c:y val="1.309329193882786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6912786659E-2"/>
              <c:y val="1.745772258510374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39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13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13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39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6912786659E-2"/>
              <c:y val="4.364430646275915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138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273E-2"/>
              <c:y val="1.309329193882778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2233157806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5057464058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435138742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5057464058E-2"/>
              <c:y val="4.364430646275874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dLbl>
          <c:idx val="0"/>
          <c:layout>
            <c:manualLayout>
              <c:x val="1.100813576354062E-2"/>
              <c:y val="-8.7288612925519905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1527081108E-2"/>
              <c:y val="-4.0006818762011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02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223315773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3645310964E-2"/>
              <c:y val="8.728861292551889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136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84282691278665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647175611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5148664749E-2"/>
              <c:y val="-4.364430646276035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016274707634273E-2"/>
              <c:y val="4.36443064627593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2233157806E-2"/>
              <c:y val="-2.0003409381005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346892939234302E-2"/>
              <c:y val="-8.001363752402399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4351387495E-2"/>
              <c:y val="-4.364430646276035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2233157806E-2"/>
              <c:y val="-4.0006818762011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008137353817136E-2"/>
              <c:y val="8.728861292551830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512206030725739E-2"/>
              <c:y val="-2.000340938100599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181585148664749E-2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677516471756183E-2"/>
              <c:y val="-4.364430646276035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439364192848315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1312139761610738E-3"/>
              <c:y val="-4.364430646276035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1312139761610738E-3"/>
              <c:y val="8.72886129255191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82629861169828E-2"/>
              <c:y val="-4.36443064627597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14295859381601E-2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8413149305849409E-3"/>
              <c:y val="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7619723958774123E-3"/>
              <c:y val="-4.364430646275955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8667697516581776E-3"/>
              <c:y val="-4.445251823515802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25181916408730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126637247678574E-2"/>
              <c:y val="-4.074767099498904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377001080496035E-2"/>
              <c:y val="8.8905036470316046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8762734148609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00145533126984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001455331269844E-2"/>
              <c:y val="8.8905036470316046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751091498452305E-2"/>
              <c:y val="4.445251823515802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126637247678418E-2"/>
              <c:y val="-8.890503647031686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37700108049587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051895160383478E-2"/>
              <c:y val="9.395742766757714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57784274057521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183382055431415E-2"/>
              <c:y val="9.395742766757714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788921370287453E-2"/>
              <c:y val="-8.6126647086235768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051898022265147E-2"/>
              <c:y val="4.697871383378770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920410769481847E-2"/>
              <c:y val="4.697871383378857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05189802226514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378436814293881E-2"/>
              <c:y val="-4.59633335649597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253124376630801E-2"/>
              <c:y val="9.192666712991915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002499501304641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7629061689620042E-2"/>
              <c:y val="-4.213256904884665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378440726615993E-2"/>
              <c:y val="-2.1066284524423327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37844072661599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378440726615993E-2"/>
              <c:y val="-4.2132569048846654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87718955330101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724475480380244E-2"/>
              <c:y val="-4.34196198560998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69692302841823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8346852882281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724475480380282E-2"/>
              <c:y val="8.683923971219972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669370576456301E-2"/>
              <c:y val="1.9900429209256041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779580384304225E-2"/>
              <c:y val="4.341961985609906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696923028418164E-2"/>
              <c:y val="8.683923971219932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80713283626619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80713283626616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779580384304225E-2"/>
              <c:y val="1.302588595682995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8346852882281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25160005719330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5.2518977175299075E-2"/>
                  <c:h val="6.0109486376741281E-2"/>
                </c:manualLayout>
              </c15:layout>
            </c:ext>
          </c:extLst>
        </c:dLbl>
      </c:pivotFmt>
      <c:pivotFmt>
        <c:idx val="7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116055853372947E-2"/>
              <c:y val="4.010178907658768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744038130897673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802066729071145E-2"/>
              <c:y val="-7.3519097341525979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59254254025851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645423991834749E-2"/>
              <c:y val="1.179771105826397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242868700308519E-2"/>
              <c:y val="4.555661575326250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6723591743784102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4539319572974085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235502769703889E-2"/>
              <c:y val="8.896750409373030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235502769703854E-2"/>
              <c:y val="1.334512561405968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344716659746191E-2"/>
              <c:y val="4.448375204686474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34471834875689E-2"/>
              <c:y val="8.896750409373111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41884210381181E-2"/>
              <c:y val="2.0921924733924823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4539319572974085E-3"/>
              <c:y val="-8.155260331662086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9592985288459133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969473896634407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641884210381181E-2"/>
              <c:y val="2.0921924733924823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9592985288459133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969473896634407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4539319572974085E-3"/>
              <c:y val="-8.155260331662086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938947793268815E-2"/>
              <c:y val="1.825934524432118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9491231610573452E-3"/>
              <c:y val="4.56483631108021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37498869917309E-2"/>
              <c:y val="-2.2267241705670936E-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507811511177605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37498869917344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dLbl>
          <c:idx val="0"/>
          <c:layout>
            <c:manualLayout>
              <c:x val="9.6484367936983048E-3"/>
              <c:y val="0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dLbl>
          <c:idx val="0"/>
          <c:layout>
            <c:manualLayout>
              <c:x val="1.1578124152437938E-2"/>
              <c:y val="0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dLbl>
          <c:idx val="0"/>
          <c:layout>
            <c:manualLayout>
              <c:x val="1.3507811511177605E-2"/>
              <c:y val="0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3.6188027290901589E-3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881431741806069E-2"/>
              <c:y val="1.34784519367066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3.6188027290901589E-3"/>
              <c:y val="2.649851354466991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2881431741806069E-2"/>
              <c:y val="1.347845193670668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516003599062528"/>
          <c:y val="0.10298497005168897"/>
          <c:w val="0.77454809334084651"/>
          <c:h val="0.576810840269520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Utilization!$B$1</c:f>
              <c:strCache>
                <c:ptCount val="1"/>
                <c:pt idx="0">
                  <c:v>Capacity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861B-4BAC-BB3B-BECD518F432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861B-4BAC-BB3B-BECD518F432B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61B-4BAC-BB3B-BECD518F432B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861B-4BAC-BB3B-BECD518F432B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861B-4BAC-BB3B-BECD518F432B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861B-4BAC-BB3B-BECD518F432B}"/>
              </c:ext>
            </c:extLst>
          </c:dPt>
          <c:dLbls>
            <c:dLbl>
              <c:idx val="2"/>
              <c:layout>
                <c:manualLayout>
                  <c:x val="-3.6188027290901589E-3"/>
                  <c:y val="2.64985135446699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61B-4BAC-BB3B-BECD518F432B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Utilization!$A$2:$A$14</c:f>
              <c:multiLvlStrCache>
                <c:ptCount val="6"/>
                <c:lvl>
                  <c:pt idx="0">
                    <c:v>42%</c:v>
                  </c:pt>
                  <c:pt idx="1">
                    <c:v>72%</c:v>
                  </c:pt>
                  <c:pt idx="2">
                    <c:v>100%</c:v>
                  </c:pt>
                  <c:pt idx="3">
                    <c:v>47%</c:v>
                  </c:pt>
                  <c:pt idx="4">
                    <c:v>36%</c:v>
                  </c:pt>
                  <c:pt idx="5">
                    <c:v>60%</c:v>
                  </c:pt>
                </c:lvl>
                <c:lvl>
                  <c:pt idx="0">
                    <c:v>Expo Global Freeport </c:v>
                  </c:pt>
                  <c:pt idx="1">
                    <c:v>Hirdaramani Woven Client Warehouse </c:v>
                  </c:pt>
                  <c:pt idx="2">
                    <c:v>Kandana DC</c:v>
                  </c:pt>
                  <c:pt idx="3">
                    <c:v>Orugodawatta DC</c:v>
                  </c:pt>
                  <c:pt idx="4">
                    <c:v>Orugodawatta DC Cold Room </c:v>
                  </c:pt>
                  <c:pt idx="5">
                    <c:v>Peliyagoda DC</c:v>
                  </c:pt>
                </c:lvl>
              </c:multiLvlStrCache>
            </c:multiLvlStrRef>
          </c:cat>
          <c:val>
            <c:numRef>
              <c:f>Utilization!$B$2:$B$14</c:f>
              <c:numCache>
                <c:formatCode>General</c:formatCode>
                <c:ptCount val="6"/>
                <c:pt idx="0">
                  <c:v>21000</c:v>
                </c:pt>
                <c:pt idx="1">
                  <c:v>4300</c:v>
                </c:pt>
                <c:pt idx="2">
                  <c:v>7500</c:v>
                </c:pt>
                <c:pt idx="3">
                  <c:v>10300</c:v>
                </c:pt>
                <c:pt idx="4">
                  <c:v>100</c:v>
                </c:pt>
                <c:pt idx="5">
                  <c:v>10250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61B-4BAC-BB3B-BECD518F432B}"/>
            </c:ext>
          </c:extLst>
        </c:ser>
        <c:ser>
          <c:idx val="1"/>
          <c:order val="1"/>
          <c:tx>
            <c:strRef>
              <c:f>Utilization!$C$1</c:f>
              <c:strCache>
                <c:ptCount val="1"/>
                <c:pt idx="0">
                  <c:v>Occupancy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861B-4BAC-BB3B-BECD518F432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861B-4BAC-BB3B-BECD518F432B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861B-4BAC-BB3B-BECD518F432B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861B-4BAC-BB3B-BECD518F432B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861B-4BAC-BB3B-BECD518F432B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861B-4BAC-BB3B-BECD518F432B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861B-4BAC-BB3B-BECD518F432B}"/>
              </c:ext>
            </c:extLst>
          </c:dPt>
          <c:dLbls>
            <c:dLbl>
              <c:idx val="2"/>
              <c:layout>
                <c:manualLayout>
                  <c:x val="2.2881431741806069E-2"/>
                  <c:y val="1.34784519367066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61B-4BAC-BB3B-BECD518F432B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Utilization!$A$2:$A$14</c:f>
              <c:multiLvlStrCache>
                <c:ptCount val="6"/>
                <c:lvl>
                  <c:pt idx="0">
                    <c:v>42%</c:v>
                  </c:pt>
                  <c:pt idx="1">
                    <c:v>72%</c:v>
                  </c:pt>
                  <c:pt idx="2">
                    <c:v>100%</c:v>
                  </c:pt>
                  <c:pt idx="3">
                    <c:v>47%</c:v>
                  </c:pt>
                  <c:pt idx="4">
                    <c:v>36%</c:v>
                  </c:pt>
                  <c:pt idx="5">
                    <c:v>60%</c:v>
                  </c:pt>
                </c:lvl>
                <c:lvl>
                  <c:pt idx="0">
                    <c:v>Expo Global Freeport </c:v>
                  </c:pt>
                  <c:pt idx="1">
                    <c:v>Hirdaramani Woven Client Warehouse </c:v>
                  </c:pt>
                  <c:pt idx="2">
                    <c:v>Kandana DC</c:v>
                  </c:pt>
                  <c:pt idx="3">
                    <c:v>Orugodawatta DC</c:v>
                  </c:pt>
                  <c:pt idx="4">
                    <c:v>Orugodawatta DC Cold Room </c:v>
                  </c:pt>
                  <c:pt idx="5">
                    <c:v>Peliyagoda DC</c:v>
                  </c:pt>
                </c:lvl>
              </c:multiLvlStrCache>
            </c:multiLvlStrRef>
          </c:cat>
          <c:val>
            <c:numRef>
              <c:f>Utilization!$C$2:$C$14</c:f>
              <c:numCache>
                <c:formatCode>General</c:formatCode>
                <c:ptCount val="6"/>
                <c:pt idx="0">
                  <c:v>8773.6718999999994</c:v>
                </c:pt>
                <c:pt idx="1">
                  <c:v>3114.8409999999999</c:v>
                </c:pt>
                <c:pt idx="2">
                  <c:v>7676.0394999999999</c:v>
                </c:pt>
                <c:pt idx="3">
                  <c:v>4837.7183473000014</c:v>
                </c:pt>
                <c:pt idx="4">
                  <c:v>36.439366699999859</c:v>
                </c:pt>
                <c:pt idx="5">
                  <c:v>6155.6408999999994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61B-4BAC-BB3B-BECD518F432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1644853616"/>
        <c:axId val="-1644859056"/>
      </c:barChart>
      <c:catAx>
        <c:axId val="-1644853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layout>
            <c:manualLayout>
              <c:xMode val="edge"/>
              <c:yMode val="edge"/>
              <c:x val="0.40575415573053369"/>
              <c:y val="0.90448765176282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9056"/>
        <c:crosses val="autoZero"/>
        <c:auto val="1"/>
        <c:lblAlgn val="ctr"/>
        <c:lblOffset val="100"/>
        <c:noMultiLvlLbl val="0"/>
      </c:catAx>
      <c:valAx>
        <c:axId val="-1644859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plant).xlsx]SheetPannal1!PivotTable1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DC Occupancy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9487743405660775E-3"/>
              <c:y val="2.3468651979109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468651979109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49655025171584"/>
          <c:y val="0.16697959642152038"/>
          <c:w val="0.70456301449791403"/>
          <c:h val="0.615910488509303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SheetPannal1!$C$3</c:f>
              <c:strCache>
                <c:ptCount val="1"/>
                <c:pt idx="0">
                  <c:v>Capacity 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SheetPannal1!$A$4:$B$6</c:f>
              <c:multiLvlStrCache>
                <c:ptCount val="2"/>
                <c:lvl>
                  <c:pt idx="0">
                    <c:v>91%</c:v>
                  </c:pt>
                  <c:pt idx="1">
                    <c:v>57%</c:v>
                  </c:pt>
                </c:lvl>
                <c:lvl>
                  <c:pt idx="0">
                    <c:v>Main DC</c:v>
                  </c:pt>
                  <c:pt idx="1">
                    <c:v>BIPL</c:v>
                  </c:pt>
                </c:lvl>
              </c:multiLvlStrCache>
            </c:multiLvlStrRef>
          </c:cat>
          <c:val>
            <c:numRef>
              <c:f>SheetPannal1!$C$4:$C$6</c:f>
              <c:numCache>
                <c:formatCode>General</c:formatCode>
                <c:ptCount val="2"/>
                <c:pt idx="0">
                  <c:v>10131</c:v>
                </c:pt>
                <c:pt idx="1">
                  <c:v>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9-4E80-9087-B6762E9D5ED8}"/>
            </c:ext>
          </c:extLst>
        </c:ser>
        <c:ser>
          <c:idx val="1"/>
          <c:order val="1"/>
          <c:tx>
            <c:strRef>
              <c:f>SheetPannal1!$D$3</c:f>
              <c:strCache>
                <c:ptCount val="1"/>
                <c:pt idx="0">
                  <c:v>Occupancy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SheetPannal1!$A$4:$B$6</c:f>
              <c:multiLvlStrCache>
                <c:ptCount val="2"/>
                <c:lvl>
                  <c:pt idx="0">
                    <c:v>91%</c:v>
                  </c:pt>
                  <c:pt idx="1">
                    <c:v>57%</c:v>
                  </c:pt>
                </c:lvl>
                <c:lvl>
                  <c:pt idx="0">
                    <c:v>Main DC</c:v>
                  </c:pt>
                  <c:pt idx="1">
                    <c:v>BIPL</c:v>
                  </c:pt>
                </c:lvl>
              </c:multiLvlStrCache>
            </c:multiLvlStrRef>
          </c:cat>
          <c:val>
            <c:numRef>
              <c:f>SheetPannal1!$D$4:$D$6</c:f>
              <c:numCache>
                <c:formatCode>General</c:formatCode>
                <c:ptCount val="2"/>
                <c:pt idx="0">
                  <c:v>9169</c:v>
                </c:pt>
                <c:pt idx="1">
                  <c:v>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C9-4E80-9087-B6762E9D5E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644856880"/>
        <c:axId val="-1643828000"/>
      </c:barChart>
      <c:catAx>
        <c:axId val="-1644856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28000"/>
        <c:crosses val="autoZero"/>
        <c:auto val="1"/>
        <c:lblAlgn val="ctr"/>
        <c:lblOffset val="100"/>
        <c:noMultiLvlLbl val="0"/>
      </c:catAx>
      <c:valAx>
        <c:axId val="-16438280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 of pallets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87751531058619"/>
          <c:y val="0.90314269926785484"/>
          <c:w val="0.26907330633808108"/>
          <c:h val="8.2498807637127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cap="none" spc="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WH'!$AIP$161</c:f>
              <c:strCache>
                <c:ptCount val="1"/>
                <c:pt idx="0">
                  <c:v>Actual Sellable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WH'!$AIJ$162:$AIJ$165</c:f>
              <c:strCache>
                <c:ptCount val="4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Peliyagoda DC</c:v>
                </c:pt>
              </c:strCache>
            </c:strRef>
          </c:cat>
          <c:val>
            <c:numRef>
              <c:f>'All WH'!$AIP$162:$AIP$165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83-4254-BE8B-E8ECACFA9A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643821472"/>
        <c:axId val="-1643830720"/>
      </c:barChart>
      <c:catAx>
        <c:axId val="-1643821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Distribution Centre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endParaRPr>
              </a:p>
            </c:rich>
          </c:tx>
          <c:layout>
            <c:manualLayout>
              <c:xMode val="edge"/>
              <c:yMode val="edge"/>
              <c:x val="0.33422790901137356"/>
              <c:y val="0.822175925925925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30720"/>
        <c:crosses val="autoZero"/>
        <c:auto val="1"/>
        <c:lblAlgn val="ctr"/>
        <c:lblOffset val="100"/>
        <c:noMultiLvlLbl val="0"/>
      </c:catAx>
      <c:valAx>
        <c:axId val="-16438307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2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plant).xlsx]All WH!PivotTable2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Sellable Space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WH'!$UX$98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DBD6-4D0A-BBC2-EC7238206BE2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DBD6-4D0A-BBC2-EC7238206BE2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DBD6-4D0A-BBC2-EC7238206BE2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DBD6-4D0A-BBC2-EC7238206BE2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WH'!$UW$99:$UW$105</c:f>
              <c:strCache>
                <c:ptCount val="6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Peliyagoda DC</c:v>
                </c:pt>
                <c:pt idx="4">
                  <c:v>Orugodawatta DC Cold Room </c:v>
                </c:pt>
                <c:pt idx="5">
                  <c:v>(blank)</c:v>
                </c:pt>
              </c:strCache>
            </c:strRef>
          </c:cat>
          <c:val>
            <c:numRef>
              <c:f>'All WH'!$UX$99:$UX$105</c:f>
              <c:numCache>
                <c:formatCode>General</c:formatCode>
                <c:ptCount val="6"/>
                <c:pt idx="0">
                  <c:v>11596.328100000001</c:v>
                </c:pt>
                <c:pt idx="1">
                  <c:v>0</c:v>
                </c:pt>
                <c:pt idx="2">
                  <c:v>4741.2816526999986</c:v>
                </c:pt>
                <c:pt idx="3">
                  <c:v>3786.8591000000006</c:v>
                </c:pt>
                <c:pt idx="4">
                  <c:v>60.560633300000141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D6-4D0A-BBC2-EC7238206B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643850848"/>
        <c:axId val="-1643847584"/>
      </c:barChart>
      <c:catAx>
        <c:axId val="-1643850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47584"/>
        <c:crosses val="autoZero"/>
        <c:auto val="1"/>
        <c:lblAlgn val="ctr"/>
        <c:lblOffset val="100"/>
        <c:noMultiLvlLbl val="0"/>
      </c:catAx>
      <c:valAx>
        <c:axId val="-16438475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50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Sellable Space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WH (2)'!$ABK$85</c:f>
              <c:strCache>
                <c:ptCount val="1"/>
                <c:pt idx="0">
                  <c:v>Actual Sellable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WH (2)'!$ABE$86:$ABE$90</c:f>
              <c:strCache>
                <c:ptCount val="5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Orugodawatta DC Cold Room </c:v>
                </c:pt>
                <c:pt idx="4">
                  <c:v>Peliyagoda DC</c:v>
                </c:pt>
              </c:strCache>
            </c:strRef>
          </c:cat>
          <c:val>
            <c:numRef>
              <c:f>'All WH (2)'!$ABK$86:$ABK$90</c:f>
              <c:numCache>
                <c:formatCode>_(* #,##0_);_(* \(#,##0\);_(* "-"??_);_(@_)</c:formatCode>
                <c:ptCount val="5"/>
                <c:pt idx="0">
                  <c:v>11596.328100000001</c:v>
                </c:pt>
                <c:pt idx="1">
                  <c:v>0</c:v>
                </c:pt>
                <c:pt idx="2">
                  <c:v>4741.2816526999986</c:v>
                </c:pt>
                <c:pt idx="3">
                  <c:v>60.560633300000141</c:v>
                </c:pt>
                <c:pt idx="4">
                  <c:v>3786.8591000000006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6-4F4A-B4FB-780B725115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35997967"/>
        <c:axId val="45258927"/>
      </c:barChart>
      <c:catAx>
        <c:axId val="935997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8927"/>
        <c:crosses val="autoZero"/>
        <c:auto val="1"/>
        <c:lblAlgn val="ctr"/>
        <c:lblOffset val="100"/>
        <c:noMultiLvlLbl val="0"/>
      </c:catAx>
      <c:valAx>
        <c:axId val="45258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7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plant).xlsx]unoccupied cbm!PivotTable2</c:name>
    <c:fmtId val="146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Unoccupied Space   </a:t>
            </a:r>
          </a:p>
        </c:rich>
      </c:tx>
      <c:layout>
        <c:manualLayout>
          <c:xMode val="edge"/>
          <c:yMode val="edge"/>
          <c:x val="0.35487955429114243"/>
          <c:y val="3.27971133700515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</c:pivotFmt>
      <c:pivotFmt>
        <c:idx val="9"/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'unoccupied cbm'!$B$3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B380-4316-9829-1A0B22D61D2C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B380-4316-9829-1A0B22D61D2C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380-4316-9829-1A0B22D61D2C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380-4316-9829-1A0B22D61D2C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380-4316-9829-1A0B22D61D2C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B380-4316-9829-1A0B22D61D2C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B380-4316-9829-1A0B22D61D2C}"/>
              </c:ext>
            </c:extLst>
          </c:dPt>
          <c:dLbls>
            <c:numFmt formatCode="_(* #,##0_);_(* \(#,##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'unoccupied cbm'!$A$4:$A$10</c:f>
              <c:strCache>
                <c:ptCount val="6"/>
                <c:pt idx="0">
                  <c:v>Expo Global Freeport </c:v>
                </c:pt>
                <c:pt idx="1">
                  <c:v>Hirdaramani Woven Client Warehouse </c:v>
                </c:pt>
                <c:pt idx="2">
                  <c:v>Kandana DC</c:v>
                </c:pt>
                <c:pt idx="3">
                  <c:v>Orugodawatta DC</c:v>
                </c:pt>
                <c:pt idx="4">
                  <c:v>Orugodawatta DC Cold Room </c:v>
                </c:pt>
                <c:pt idx="5">
                  <c:v>Peliyagoda DC</c:v>
                </c:pt>
              </c:strCache>
            </c:strRef>
          </c:cat>
          <c:val>
            <c:numRef>
              <c:f>'unoccupied cbm'!$B$4:$B$10</c:f>
              <c:numCache>
                <c:formatCode>General</c:formatCode>
                <c:ptCount val="6"/>
                <c:pt idx="0">
                  <c:v>12226.328100000001</c:v>
                </c:pt>
                <c:pt idx="1">
                  <c:v>1185.1590000000001</c:v>
                </c:pt>
                <c:pt idx="2">
                  <c:v>0</c:v>
                </c:pt>
                <c:pt idx="3">
                  <c:v>5462.2816526999986</c:v>
                </c:pt>
                <c:pt idx="4">
                  <c:v>63.560633300000141</c:v>
                </c:pt>
                <c:pt idx="5">
                  <c:v>4094.3591000000006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380-4316-9829-1A0B22D61D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644858512"/>
        <c:axId val="-1644857424"/>
      </c:barChart>
      <c:catAx>
        <c:axId val="-1644858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Distribution Centre</a:t>
                </a:r>
              </a:p>
            </c:rich>
          </c:tx>
          <c:layout>
            <c:manualLayout>
              <c:xMode val="edge"/>
              <c:yMode val="edge"/>
              <c:x val="0.47719825026935458"/>
              <c:y val="0.891562607213979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7424"/>
        <c:crosses val="autoZero"/>
        <c:auto val="1"/>
        <c:lblAlgn val="ctr"/>
        <c:lblOffset val="100"/>
        <c:noMultiLvlLbl val="0"/>
      </c:catAx>
      <c:valAx>
        <c:axId val="-1644857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rPr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5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cap="none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cap="none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Opportunity Cost For the Day</a:t>
            </a:r>
          </a:p>
        </c:rich>
      </c:tx>
      <c:layout>
        <c:manualLayout>
          <c:xMode val="edge"/>
          <c:yMode val="edge"/>
          <c:x val="0.34640821419849965"/>
          <c:y val="1.84614943292204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cap="none" spc="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534457625623187"/>
          <c:y val="0.11889982523683489"/>
          <c:w val="0.79247165828713717"/>
          <c:h val="0.459388770017922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'All WH'!$AIP$57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A34-4C9D-B3BD-7F06E2998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('All WH'!$AII$61,'All WH'!$AII$64,'All WH'!$AII$58,'All WH'!$AII$60,'All WH'!$AII$59)</c:f>
              <c:strCache>
                <c:ptCount val="5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Peliyagoda DC</c:v>
                </c:pt>
                <c:pt idx="4">
                  <c:v>Orugodawatta DC Cold Room </c:v>
                </c:pt>
              </c:strCache>
            </c:strRef>
          </c:cat>
          <c:val>
            <c:numRef>
              <c:f>('All WH'!$AIP$61,'All WH'!$AIP$64,'All WH'!$AIP$58,'All WH'!$AIP$60,'All WH'!$AIP$59)</c:f>
              <c:numCache>
                <c:formatCode>#,##0</c:formatCode>
                <c:ptCount val="5"/>
                <c:pt idx="0">
                  <c:v>1237195.135652459</c:v>
                </c:pt>
                <c:pt idx="1">
                  <c:v>0</c:v>
                </c:pt>
                <c:pt idx="2">
                  <c:v>453919.42379947525</c:v>
                </c:pt>
                <c:pt idx="3">
                  <c:v>309405.0123672132</c:v>
                </c:pt>
                <c:pt idx="4">
                  <c:v>5797.9360405246034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07-4E71-8E88-60611D2C4AFC}"/>
            </c:ext>
          </c:extLst>
        </c:ser>
        <c:ser>
          <c:idx val="1"/>
          <c:order val="1"/>
          <c:tx>
            <c:strRef>
              <c:f>'All WH'!$AIQ$57</c:f>
              <c:strCache>
                <c:ptCount val="1"/>
                <c:pt idx="0">
                  <c:v>Net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122052051199496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00-4AE5-BA17-FCAEF82F292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4-4C9D-B3BD-7F06E2998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('All WH'!$AII$61,'All WH'!$AII$64,'All WH'!$AII$58,'All WH'!$AII$60,'All WH'!$AII$59)</c:f>
              <c:strCache>
                <c:ptCount val="5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Peliyagoda DC</c:v>
                </c:pt>
                <c:pt idx="4">
                  <c:v>Orugodawatta DC Cold Room </c:v>
                </c:pt>
              </c:strCache>
            </c:strRef>
          </c:cat>
          <c:val>
            <c:numRef>
              <c:f>('All WH'!$AIQ$61,'All WH'!$AIQ$64,'All WH'!$AIQ$58,'All WH'!$AIQ$60,'All WH'!$AIQ$59)</c:f>
              <c:numCache>
                <c:formatCode>#,##0</c:formatCode>
                <c:ptCount val="5"/>
                <c:pt idx="0">
                  <c:v>279832.70431475411</c:v>
                </c:pt>
                <c:pt idx="1">
                  <c:v>0</c:v>
                </c:pt>
                <c:pt idx="2">
                  <c:v>82855.840029150801</c:v>
                </c:pt>
                <c:pt idx="3">
                  <c:v>76978.775147541004</c:v>
                </c:pt>
                <c:pt idx="4">
                  <c:v>1058.3218868491829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307-4E71-8E88-60611D2C4A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1643834528"/>
        <c:axId val="-1643822016"/>
      </c:barChart>
      <c:catAx>
        <c:axId val="-164383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layout>
            <c:manualLayout>
              <c:xMode val="edge"/>
              <c:yMode val="edge"/>
              <c:x val="0.48025928189329115"/>
              <c:y val="0.7108650457758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22016"/>
        <c:crosses val="autoZero"/>
        <c:auto val="1"/>
        <c:lblAlgn val="ctr"/>
        <c:lblOffset val="100"/>
        <c:noMultiLvlLbl val="0"/>
      </c:catAx>
      <c:valAx>
        <c:axId val="-1643822016"/>
        <c:scaling>
          <c:orientation val="minMax"/>
          <c:max val="10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LKR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3834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45513356147751"/>
          <c:y val="0.82666331877623533"/>
          <c:w val="0.25089721420550826"/>
          <c:h val="6.719052835330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 format -All WH'!$UW$1</c:f>
              <c:strCache>
                <c:ptCount val="1"/>
                <c:pt idx="0">
                  <c:v>Utilization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'New format -All WH'!$A$2:$A$6</c:f>
              <c:strCache>
                <c:ptCount val="5"/>
                <c:pt idx="0">
                  <c:v>LPPL</c:v>
                </c:pt>
                <c:pt idx="1">
                  <c:v>Nuge Rd</c:v>
                </c:pt>
                <c:pt idx="2">
                  <c:v>EGF</c:v>
                </c:pt>
                <c:pt idx="3">
                  <c:v>Ja Ela</c:v>
                </c:pt>
                <c:pt idx="4">
                  <c:v>Kandana DC</c:v>
                </c:pt>
              </c:strCache>
            </c:strRef>
          </c:cat>
          <c:val>
            <c:numRef>
              <c:f>'New format -All WH'!$UW$2:$UW$5</c:f>
              <c:numCache>
                <c:formatCode>0%</c:formatCode>
                <c:ptCount val="4"/>
                <c:pt idx="0" formatCode="0.0%">
                  <c:v>0.53968139294174766</c:v>
                </c:pt>
                <c:pt idx="1">
                  <c:v>0.630550331707317</c:v>
                </c:pt>
                <c:pt idx="2">
                  <c:v>0.44779389999999997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5-4668-B0C5-7D54C917E1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783146480"/>
        <c:axId val="-1644902592"/>
      </c:barChart>
      <c:catAx>
        <c:axId val="-78314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902592"/>
        <c:crosses val="autoZero"/>
        <c:auto val="1"/>
        <c:lblAlgn val="ctr"/>
        <c:lblOffset val="100"/>
        <c:noMultiLvlLbl val="0"/>
      </c:catAx>
      <c:valAx>
        <c:axId val="-1644902592"/>
        <c:scaling>
          <c:orientation val="minMax"/>
          <c:min val="0.30000000000000004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83146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plant).xlsx]Utilization!PivotTable1</c:name>
    <c:fmtId val="6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DC Occupancy </a:t>
            </a:r>
            <a:r>
              <a:rPr lang="en-US" sz="1600" b="1" i="0" u="none" strike="noStrike" baseline="0">
                <a:effectLst/>
              </a:rPr>
              <a:t>with Honeycomb</a:t>
            </a:r>
            <a:r>
              <a:rPr lang="en-US" sz="1600" b="1"/>
              <a:t>  </a:t>
            </a:r>
          </a:p>
        </c:rich>
      </c:tx>
      <c:layout>
        <c:manualLayout>
          <c:xMode val="edge"/>
          <c:yMode val="edge"/>
          <c:x val="0.3047993374784746"/>
          <c:y val="3.06222845025727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88323917137476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5031890707865561E-3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5856873822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624E-3"/>
              <c:y val="2.354048964218451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2.824858757062146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2.824858757062144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189018324187211E-2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4.708097928436911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2704946011568055E-3"/>
              <c:y val="1.88323917137476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6352473005783529E-3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1.88323917137476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412429378531064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472E-2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7928436911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15E-2"/>
              <c:y val="9.416195856873822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3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66757152943E-3"/>
              <c:y val="9.416195856873909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176236502890765E-3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17623650289143E-3"/>
              <c:y val="1.883239171374764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6352473005783529E-3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6.0146723617842588E-17"/>
              <c:y val="2.824858757062146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937853106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1134100135730538E-3"/>
              <c:y val="1.412429378531073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378033378576099E-3"/>
              <c:y val="1.883239171374773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2.824702729693371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372636373143073E-3"/>
              <c:y val="4.70783788282228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4527274628913E-3"/>
              <c:y val="9.415675765644572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207E-3"/>
              <c:y val="4.707837882822286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2.353918941411140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567576564452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layout>
            <c:manualLayout>
              <c:x val="1.3912075681691666E-2"/>
              <c:y val="9.4156757656445496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layout>
            <c:manualLayout>
              <c:x val="4.6373585605638179E-3"/>
              <c:y val="1.41235136484668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15E-2"/>
              <c:y val="9.4156757656445721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23E-2"/>
              <c:y val="-4.707837882822371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layout>
            <c:manualLayout>
              <c:x val="1.0186319820605272E-2"/>
              <c:y val="9.415675765644593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13515312891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567576564452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179E-3"/>
              <c:y val="9.4156757656445288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36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1.5031890707865561E-3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15E-2"/>
              <c:y val="9.416195856873822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4.7080979284369112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7.3172208740194351E-3"/>
              <c:y val="2.354050648471385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8.0392789463100654E-3"/>
              <c:y val="1.870727393886760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</c:pivotFmt>
      <c:pivotFmt>
        <c:idx val="7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4238320520776471E-2"/>
              <c:y val="2.37909212103175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199041574466406E-2"/>
              <c:y val="2.37909212103175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</c:pivotFmt>
      <c:pivotFmt>
        <c:idx val="74"/>
        <c:dLbl>
          <c:idx val="0"/>
          <c:layout>
            <c:manualLayout>
              <c:x val="4.6373585605639029E-3"/>
              <c:y val="4.7080979284368687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7.4718592565891127E-17"/>
              <c:y val="9.4161958568738224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378033378576845E-3"/>
              <c:y val="2.824858757062138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094377184487999E-2"/>
              <c:y val="1.412429378531064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6.9560378408458539E-3"/>
              <c:y val="4.70809792843682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4.7080979284368253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layout>
            <c:manualLayout>
              <c:x val="3.014283064366537E-2"/>
              <c:y val="9.4161958568738224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8.0392789463100654E-3"/>
              <c:y val="1.8707273938867602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199041574466406E-2"/>
              <c:y val="2.379092121031754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1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162405682783335E-2"/>
              <c:y val="-8.4841638405605165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46165114504971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162405682783335E-2"/>
              <c:y val="-1.696832768112110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729924546226669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297443409670003E-2"/>
              <c:y val="0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392927056256219"/>
          <c:y val="0.16889837922802023"/>
          <c:w val="0.6937798237013495"/>
          <c:h val="0.521754749537198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Utilization!$B$1</c:f>
              <c:strCache>
                <c:ptCount val="1"/>
                <c:pt idx="0">
                  <c:v>Capacity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531E-4642-B1B9-E8CD1E8F0173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531E-4642-B1B9-E8CD1E8F0173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531E-4642-B1B9-E8CD1E8F0173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531E-4642-B1B9-E8CD1E8F0173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Utilization!$A$2:$A$14</c:f>
              <c:multiLvlStrCache>
                <c:ptCount val="6"/>
                <c:lvl>
                  <c:pt idx="0">
                    <c:v>42%</c:v>
                  </c:pt>
                  <c:pt idx="1">
                    <c:v>72%</c:v>
                  </c:pt>
                  <c:pt idx="2">
                    <c:v>100%</c:v>
                  </c:pt>
                  <c:pt idx="3">
                    <c:v>47%</c:v>
                  </c:pt>
                  <c:pt idx="4">
                    <c:v>36%</c:v>
                  </c:pt>
                  <c:pt idx="5">
                    <c:v>60%</c:v>
                  </c:pt>
                </c:lvl>
                <c:lvl>
                  <c:pt idx="0">
                    <c:v>Expo Global Freeport </c:v>
                  </c:pt>
                  <c:pt idx="1">
                    <c:v>Hirdaramani Woven Client Warehouse </c:v>
                  </c:pt>
                  <c:pt idx="2">
                    <c:v>Kandana DC</c:v>
                  </c:pt>
                  <c:pt idx="3">
                    <c:v>Orugodawatta DC</c:v>
                  </c:pt>
                  <c:pt idx="4">
                    <c:v>Orugodawatta DC Cold Room </c:v>
                  </c:pt>
                  <c:pt idx="5">
                    <c:v>Peliyagoda DC</c:v>
                  </c:pt>
                </c:lvl>
              </c:multiLvlStrCache>
            </c:multiLvlStrRef>
          </c:cat>
          <c:val>
            <c:numRef>
              <c:f>Utilization!$B$2:$B$14</c:f>
              <c:numCache>
                <c:formatCode>General</c:formatCode>
                <c:ptCount val="6"/>
                <c:pt idx="0">
                  <c:v>21000</c:v>
                </c:pt>
                <c:pt idx="1">
                  <c:v>4300</c:v>
                </c:pt>
                <c:pt idx="2">
                  <c:v>7500</c:v>
                </c:pt>
                <c:pt idx="3">
                  <c:v>10300</c:v>
                </c:pt>
                <c:pt idx="4">
                  <c:v>100</c:v>
                </c:pt>
                <c:pt idx="5">
                  <c:v>10250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1E-4642-B1B9-E8CD1E8F0173}"/>
            </c:ext>
          </c:extLst>
        </c:ser>
        <c:ser>
          <c:idx val="1"/>
          <c:order val="1"/>
          <c:tx>
            <c:strRef>
              <c:f>Utilization!$C$1</c:f>
              <c:strCache>
                <c:ptCount val="1"/>
                <c:pt idx="0">
                  <c:v>Occupancy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531E-4642-B1B9-E8CD1E8F0173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531E-4642-B1B9-E8CD1E8F0173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531E-4642-B1B9-E8CD1E8F0173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531E-4642-B1B9-E8CD1E8F0173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9E4-4062-AAA0-3C1766746C58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9E4-4062-AAA0-3C1766746C58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Utilization!$A$2:$A$14</c:f>
              <c:multiLvlStrCache>
                <c:ptCount val="6"/>
                <c:lvl>
                  <c:pt idx="0">
                    <c:v>42%</c:v>
                  </c:pt>
                  <c:pt idx="1">
                    <c:v>72%</c:v>
                  </c:pt>
                  <c:pt idx="2">
                    <c:v>100%</c:v>
                  </c:pt>
                  <c:pt idx="3">
                    <c:v>47%</c:v>
                  </c:pt>
                  <c:pt idx="4">
                    <c:v>36%</c:v>
                  </c:pt>
                  <c:pt idx="5">
                    <c:v>60%</c:v>
                  </c:pt>
                </c:lvl>
                <c:lvl>
                  <c:pt idx="0">
                    <c:v>Expo Global Freeport </c:v>
                  </c:pt>
                  <c:pt idx="1">
                    <c:v>Hirdaramani Woven Client Warehouse </c:v>
                  </c:pt>
                  <c:pt idx="2">
                    <c:v>Kandana DC</c:v>
                  </c:pt>
                  <c:pt idx="3">
                    <c:v>Orugodawatta DC</c:v>
                  </c:pt>
                  <c:pt idx="4">
                    <c:v>Orugodawatta DC Cold Room </c:v>
                  </c:pt>
                  <c:pt idx="5">
                    <c:v>Peliyagoda DC</c:v>
                  </c:pt>
                </c:lvl>
              </c:multiLvlStrCache>
            </c:multiLvlStrRef>
          </c:cat>
          <c:val>
            <c:numRef>
              <c:f>Utilization!$C$2:$C$14</c:f>
              <c:numCache>
                <c:formatCode>General</c:formatCode>
                <c:ptCount val="6"/>
                <c:pt idx="0">
                  <c:v>8773.6718999999994</c:v>
                </c:pt>
                <c:pt idx="1">
                  <c:v>3114.8409999999999</c:v>
                </c:pt>
                <c:pt idx="2">
                  <c:v>7676.0394999999999</c:v>
                </c:pt>
                <c:pt idx="3">
                  <c:v>4837.7183473000014</c:v>
                </c:pt>
                <c:pt idx="4">
                  <c:v>36.439366699999859</c:v>
                </c:pt>
                <c:pt idx="5">
                  <c:v>6155.6408999999994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31E-4642-B1B9-E8CD1E8F017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1644897696"/>
        <c:axId val="-1644890624"/>
      </c:barChart>
      <c:catAx>
        <c:axId val="-1644897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layout>
            <c:manualLayout>
              <c:xMode val="edge"/>
              <c:yMode val="edge"/>
              <c:x val="0.40575415573053369"/>
              <c:y val="0.90448765176282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90624"/>
        <c:crosses val="autoZero"/>
        <c:auto val="1"/>
        <c:lblAlgn val="ctr"/>
        <c:lblOffset val="100"/>
        <c:noMultiLvlLbl val="0"/>
      </c:catAx>
      <c:valAx>
        <c:axId val="-16448906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489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396640419947496"/>
          <c:y val="0.88602650256320126"/>
          <c:w val="0.27510936132983377"/>
          <c:h val="8.40789639386401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plant).xlsx]sellable!PivotTable1</c:name>
    <c:fmtId val="519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cap="none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cap="none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Sellable Space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cap="none" spc="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m\/d;@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233</a:t>
                </a:r>
                <a:endParaRPr lang="en-US"/>
              </a:p>
            </c:rich>
          </c:tx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9.2747171211278907E-3"/>
              <c:y val="-9.4161958568738657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980</a:t>
                </a:r>
                <a:endParaRPr lang="en-US"/>
              </a:p>
            </c:rich>
          </c:tx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45894221486087"/>
          <c:y val="0.1719868173258004"/>
          <c:w val="0.84339822714147372"/>
          <c:h val="0.604833770778652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sellable!$B$3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35-4EFE-BEB2-7D64EFA6778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35-4EFE-BEB2-7D64EFA6778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835-4EFE-BEB2-7D64EFA6778E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5835-4EFE-BEB2-7D64EFA6778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5835-4EFE-BEB2-7D64EFA6778E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835-4EFE-BEB2-7D64EFA6778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835-4EFE-BEB2-7D64EFA6778E}"/>
                </c:ext>
              </c:extLst>
            </c:dLbl>
            <c:dLbl>
              <c:idx val="2"/>
              <c:layout>
                <c:manualLayout>
                  <c:x val="-9.2747171211278907E-3"/>
                  <c:y val="-9.4161958568738657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980</a:t>
                    </a:r>
                    <a:endParaRPr lang="en-US"/>
                  </a:p>
                </c:rich>
              </c:tx>
              <c:numFmt formatCode="_(* #,##0_);_(* \(#,##0\);_(* &quot;-&quot;??_);_(@_)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5835-4EFE-BEB2-7D64EFA6778E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233</a:t>
                    </a:r>
                    <a:endParaRPr lang="en-US"/>
                  </a:p>
                </c:rich>
              </c:tx>
              <c:numFmt formatCode="_(* #,##0_);_(* \(#,##0\);_(* &quot;-&quot;??_);_(@_)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5835-4EFE-BEB2-7D64EFA677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sellable!$A$4:$A$9</c:f>
              <c:strCache>
                <c:ptCount val="5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Orugodawatta DC Cold Room </c:v>
                </c:pt>
                <c:pt idx="4">
                  <c:v>Peliyagoda DC</c:v>
                </c:pt>
              </c:strCache>
            </c:strRef>
          </c:cat>
          <c:val>
            <c:numRef>
              <c:f>sellable!$B$4:$B$9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84.622120700000067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835-4EFE-BEB2-7D64EFA677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648643472"/>
        <c:axId val="-1876604688"/>
      </c:barChart>
      <c:catAx>
        <c:axId val="-1648643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layout>
            <c:manualLayout>
              <c:xMode val="edge"/>
              <c:yMode val="edge"/>
              <c:x val="0.41081007046643131"/>
              <c:y val="0.889500544888029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6604688"/>
        <c:crosses val="autoZero"/>
        <c:auto val="1"/>
        <c:lblAlgn val="ctr"/>
        <c:lblOffset val="100"/>
        <c:noMultiLvlLbl val="0"/>
      </c:catAx>
      <c:valAx>
        <c:axId val="-1876604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8643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plant).xlsx]SheetPannal1!PivotTable1</c:name>
    <c:fmtId val="28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DC Occupancy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3186792802819089E-3"/>
              <c:y val="9.416195856873779E-3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1134109945123714E-3"/>
              <c:y val="2.354048964218455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0756073296749143E-3"/>
              <c:y val="1.4124293785310648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49655025171584"/>
          <c:y val="0.16697959642152038"/>
          <c:w val="0.70456301449791403"/>
          <c:h val="0.615910488509303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SheetPannal1!$C$3</c:f>
              <c:strCache>
                <c:ptCount val="1"/>
                <c:pt idx="0">
                  <c:v>Capacity 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SheetPannal1!$A$4:$B$6</c:f>
              <c:multiLvlStrCache>
                <c:ptCount val="2"/>
                <c:lvl>
                  <c:pt idx="0">
                    <c:v>91%</c:v>
                  </c:pt>
                  <c:pt idx="1">
                    <c:v>57%</c:v>
                  </c:pt>
                </c:lvl>
                <c:lvl>
                  <c:pt idx="0">
                    <c:v>Main DC</c:v>
                  </c:pt>
                  <c:pt idx="1">
                    <c:v>BIPL</c:v>
                  </c:pt>
                </c:lvl>
              </c:multiLvlStrCache>
            </c:multiLvlStrRef>
          </c:cat>
          <c:val>
            <c:numRef>
              <c:f>SheetPannal1!$C$4:$C$6</c:f>
              <c:numCache>
                <c:formatCode>General</c:formatCode>
                <c:ptCount val="2"/>
                <c:pt idx="0">
                  <c:v>10131</c:v>
                </c:pt>
                <c:pt idx="1">
                  <c:v>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BD-4117-B538-5D3E961FC417}"/>
            </c:ext>
          </c:extLst>
        </c:ser>
        <c:ser>
          <c:idx val="1"/>
          <c:order val="1"/>
          <c:tx>
            <c:strRef>
              <c:f>SheetPannal1!$D$3</c:f>
              <c:strCache>
                <c:ptCount val="1"/>
                <c:pt idx="0">
                  <c:v>Occupancy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SheetPannal1!$A$4:$B$6</c:f>
              <c:multiLvlStrCache>
                <c:ptCount val="2"/>
                <c:lvl>
                  <c:pt idx="0">
                    <c:v>91%</c:v>
                  </c:pt>
                  <c:pt idx="1">
                    <c:v>57%</c:v>
                  </c:pt>
                </c:lvl>
                <c:lvl>
                  <c:pt idx="0">
                    <c:v>Main DC</c:v>
                  </c:pt>
                  <c:pt idx="1">
                    <c:v>BIPL</c:v>
                  </c:pt>
                </c:lvl>
              </c:multiLvlStrCache>
            </c:multiLvlStrRef>
          </c:cat>
          <c:val>
            <c:numRef>
              <c:f>SheetPannal1!$D$4:$D$6</c:f>
              <c:numCache>
                <c:formatCode>General</c:formatCode>
                <c:ptCount val="2"/>
                <c:pt idx="0">
                  <c:v>9169</c:v>
                </c:pt>
                <c:pt idx="1">
                  <c:v>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BD-4117-B538-5D3E961FC4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649914160"/>
        <c:axId val="-1645026560"/>
      </c:barChart>
      <c:catAx>
        <c:axId val="-1649914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5026560"/>
        <c:crosses val="autoZero"/>
        <c:auto val="1"/>
        <c:lblAlgn val="ctr"/>
        <c:lblOffset val="100"/>
        <c:noMultiLvlLbl val="0"/>
      </c:catAx>
      <c:valAx>
        <c:axId val="-16450265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 of pallets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4991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87751531058619"/>
          <c:y val="0.90314269926785484"/>
          <c:w val="0.26907330633808108"/>
          <c:h val="8.2498807637127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cap="none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cap="none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Opportunity Cost For the Day</a:t>
            </a:r>
          </a:p>
        </c:rich>
      </c:tx>
      <c:layout>
        <c:manualLayout>
          <c:xMode val="edge"/>
          <c:yMode val="edge"/>
          <c:x val="0.3194790026246719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cap="none" spc="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WH'!$AIP$57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02-4347-B353-D349A9E09B5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02-4347-B353-D349A9E09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('All WH'!$AII$61,'All WH'!$AII$64,'All WH'!$AII$58,'All WH'!$AII$60)</c:f>
              <c:strCache>
                <c:ptCount val="4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Peliyagoda DC</c:v>
                </c:pt>
              </c:strCache>
            </c:strRef>
          </c:cat>
          <c:val>
            <c:numRef>
              <c:f>('All WH'!$AIP$61,'All WH'!$AIP$64,'All WH'!$AIP$58,'All WH'!$AIP$60)</c:f>
              <c:numCache>
                <c:formatCode>#,##0</c:formatCode>
                <c:ptCount val="4"/>
                <c:pt idx="0">
                  <c:v>1237195.135652459</c:v>
                </c:pt>
                <c:pt idx="1">
                  <c:v>0</c:v>
                </c:pt>
                <c:pt idx="2">
                  <c:v>453919.42379947525</c:v>
                </c:pt>
                <c:pt idx="3">
                  <c:v>309405.0123672132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02-4347-B353-D349A9E09B50}"/>
            </c:ext>
          </c:extLst>
        </c:ser>
        <c:ser>
          <c:idx val="1"/>
          <c:order val="1"/>
          <c:tx>
            <c:strRef>
              <c:f>'All WH'!$AIQ$57</c:f>
              <c:strCache>
                <c:ptCount val="1"/>
                <c:pt idx="0">
                  <c:v>Net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402-4347-B353-D349A9E09B5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402-4347-B353-D349A9E09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('All WH'!$AII$61,'All WH'!$AII$64,'All WH'!$AII$58,'All WH'!$AII$60)</c:f>
              <c:strCache>
                <c:ptCount val="4"/>
                <c:pt idx="0">
                  <c:v>Expo Global Freeport </c:v>
                </c:pt>
                <c:pt idx="1">
                  <c:v>Kandana DC</c:v>
                </c:pt>
                <c:pt idx="2">
                  <c:v>Orugodawatta DC</c:v>
                </c:pt>
                <c:pt idx="3">
                  <c:v>Peliyagoda DC</c:v>
                </c:pt>
              </c:strCache>
            </c:strRef>
          </c:cat>
          <c:val>
            <c:numRef>
              <c:f>('All WH'!$AIQ$61,'All WH'!$AIQ$64,'All WH'!$AIQ$58,'All WH'!$AIQ$60)</c:f>
              <c:numCache>
                <c:formatCode>#,##0</c:formatCode>
                <c:ptCount val="4"/>
                <c:pt idx="0">
                  <c:v>279832.70431475411</c:v>
                </c:pt>
                <c:pt idx="1">
                  <c:v>0</c:v>
                </c:pt>
                <c:pt idx="2">
                  <c:v>82855.840029150801</c:v>
                </c:pt>
                <c:pt idx="3">
                  <c:v>76978.775147541004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02-4347-B353-D349A9E09B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774505200"/>
        <c:axId val="-774489424"/>
      </c:barChart>
      <c:catAx>
        <c:axId val="-774505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4489424"/>
        <c:crosses val="autoZero"/>
        <c:auto val="1"/>
        <c:lblAlgn val="ctr"/>
        <c:lblOffset val="100"/>
        <c:noMultiLvlLbl val="0"/>
      </c:catAx>
      <c:valAx>
        <c:axId val="-774489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LKR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450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plant).xlsx]100% Occupancy!PivotTable7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>
                <a:effectLst/>
              </a:rPr>
              <a:t>DC Occupancy with Honeycomb  </a:t>
            </a:r>
            <a:endParaRPr lang="en-US" sz="1600">
              <a:effectLst/>
            </a:endParaRPr>
          </a:p>
        </c:rich>
      </c:tx>
      <c:layout>
        <c:manualLayout>
          <c:xMode val="edge"/>
          <c:yMode val="edge"/>
          <c:x val="0.32050656167978997"/>
          <c:y val="1.80180081656459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59959074397833E-2"/>
              <c:y val="9.25938283138336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5134337339719014E-3"/>
              <c:y val="1.822145113216771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0334532473924049E-3"/>
              <c:y val="3.333185046784401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831912320540919E-2"/>
              <c:y val="9.5717733269918438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-7.7034183919114105E-3"/>
              <c:y val="1.225351864573971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-9.2353001329379281E-3"/>
              <c:y val="-8.2581628592562116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9.25925925925923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3333333333332309E-3"/>
              <c:y val="1.85185185185184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7777777777777779E-3"/>
              <c:y val="1.388888888888888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51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7777777777777779E-3"/>
              <c:y val="1.851851851851851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-5.5555555555555558E-3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7777777777777779E-3"/>
              <c:y val="1.851851851851847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5555555555555558E-3"/>
              <c:y val="9.2592592592592171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9.2592592592592587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5555555555555558E-3"/>
              <c:y val="1.388888888888884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8.3333333333332309E-3"/>
              <c:y val="9.2592592592592171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4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8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99625629456355E-2"/>
              <c:y val="1.387829411496977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1.9444444444444445E-2"/>
              <c:y val="1.388888888888888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4916096954630115E-2"/>
              <c:y val="1.387283236994219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layout>
            <c:manualLayout>
              <c:x val="0"/>
              <c:y val="2.252252252252252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3.153153153153152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987012987012988E-2"/>
              <c:y val="4.504504504504504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181818181818181E-2"/>
              <c:y val="8.2581628592562116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84415584415584E-2"/>
              <c:y val="1.351351351351351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181818181818181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779220779220779E-2"/>
              <c:y val="1.801801801801801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8571428571428571E-2"/>
              <c:y val="9.009009009009008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1948051948051948E-3"/>
              <c:y val="1.351351351351351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922077922077922E-3"/>
              <c:y val="9.0090090090089257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8571428571428477E-2"/>
              <c:y val="2.25225225225224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84415584415584E-2"/>
              <c:y val="1.801801801801801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974025974025976E-2"/>
              <c:y val="1.351351351351343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6363636363636362E-2"/>
              <c:y val="4.5045045045044628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779220779220779E-2"/>
              <c:y val="4.5045045045044221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181818181818181E-2"/>
              <c:y val="2.252252252252252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84415584415584E-2"/>
              <c:y val="2.252252252252252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922077922077922E-3"/>
              <c:y val="9.009009009009008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layout>
            <c:manualLayout>
              <c:x val="1.038961038961039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layout>
            <c:manualLayout>
              <c:x val="7.7922077922077922E-3"/>
              <c:y val="9.009009009009008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layout>
            <c:manualLayout>
              <c:x val="1.5584415584415584E-2"/>
              <c:y val="2.252252252252252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974025974025976E-2"/>
              <c:y val="1.3513513513513473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1948051948051948E-3"/>
              <c:y val="1.351351351351343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9.009009009009008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779220779220779E-2"/>
              <c:y val="1.801801801801801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922077922077922E-3"/>
              <c:y val="9.009009009009008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1.801801801801793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84415584415584E-2"/>
              <c:y val="9.009009009009008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8571428571428571E-2"/>
              <c:y val="1.801801801801805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987012987012988E-2"/>
              <c:y val="1.801801801801793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1.351351351351351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779220779220779E-2"/>
              <c:y val="1.351351351351355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1948051948051948E-3"/>
              <c:y val="9.009009009009008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1.801801801801793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779220779220755E-2"/>
              <c:y val="2.252252252252252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181818181818181E-2"/>
              <c:y val="4.5045045045044221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1.801801801801797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84415584415584E-2"/>
              <c:y val="2.252252252252252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584415584415584E-2"/>
              <c:y val="1.801801801801801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9.009009009009008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974025974025974E-3"/>
              <c:y val="1.351351351351351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922077922077922E-3"/>
              <c:y val="1.801801801801793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3766233766233764E-2"/>
              <c:y val="1.801801801801797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1168831168831075E-2"/>
              <c:y val="2.252252252252252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2987012987012988E-2"/>
              <c:y val="1.801801801801801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8571428571428571E-2"/>
              <c:y val="9.0090090090089881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038961038961039E-2"/>
              <c:y val="9.009009009009008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505472083101294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79284368253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58568737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9.416195856873801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4.7080979284369112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79284369112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562E-2"/>
              <c:y val="4.7080979284369112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3E-2"/>
              <c:y val="9.416195856873801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79284368253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9.4161958568737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812E-3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939E-3"/>
              <c:y val="-8.631413157979656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-2.1578532894949141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562E-2"/>
              <c:y val="-4.3157065789898282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58568737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4.7080979284369112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4.7080979284369112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-2.1578532894949141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58568737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1.4124293785310691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9.4161958568737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66E-2"/>
              <c:y val="1.412429378531071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574E-2"/>
              <c:y val="9.4161958568737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1.8832391713747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5856873737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8057E-3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79284369112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-8.631413157979656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179E-3"/>
              <c:y val="1.8832391713747603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505472083101464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525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layout>
            <c:manualLayout>
              <c:x val="1.623075496197366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1.883239171374762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562E-2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562E-2"/>
              <c:y val="9.416195856873737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66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538E-2"/>
              <c:y val="1.8832391713747603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66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883239171374762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43E-2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23E-2"/>
              <c:y val="-4.7080979284369112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66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49E-2"/>
              <c:y val="-4.3157065789898282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666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7689E-3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672E-2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611E-2"/>
              <c:y val="1.412429378531075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2747171211277207E-3"/>
              <c:y val="4.7080979284369546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623075496197366E-2"/>
              <c:y val="2.354048964218451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912075681691708E-2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587E-2"/>
              <c:y val="1.8832391713747603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6.9560378408458539E-3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49434242255525E-2"/>
              <c:y val="1.412429378531064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562E-2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4.7080979284369546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0868113522537479E-2"/>
              <c:y val="4.7080979284368253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7824151363383415E-2"/>
              <c:y val="4.7080979284369112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472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93396401409757E-2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3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8179E-3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089E-3"/>
              <c:y val="1.883239171374762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4E-3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4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3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3.766478342749528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2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089E-3"/>
              <c:y val="2.824858757062144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089E-3"/>
              <c:y val="2.354048964218453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766478342749528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382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7003451630076786E-16"/>
              <c:y val="2.82485875706214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3186792802819514E-3"/>
              <c:y val="3.295668549905833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7003451630076786E-16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4E-3"/>
              <c:y val="3.766478342749520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29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7003451630076786E-16"/>
              <c:y val="3.766478342749520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7003451630076786E-16"/>
              <c:y val="3.295668549905833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3186792802820364E-3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7003451630076786E-16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29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6373585605639029E-3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7003451630076786E-16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7003451630076786E-16"/>
              <c:y val="2.354048964218451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382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7003451630076786E-16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1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1.883239171374755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86792802819514E-3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dLbl>
          <c:idx val="0"/>
          <c:layout>
            <c:manualLayout>
              <c:x val="0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017258150383929E-17"/>
              <c:y val="1.883239171374755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78942570647219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78942570647219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67365542388331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78942570647219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78942570647219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34731084776663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2355829509485636E-17"/>
              <c:y val="2.278942570647221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67365542388331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78942570647219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34731084776663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2355829509485636E-17"/>
              <c:y val="2.734731084776665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34731084776663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2355829509485636E-17"/>
              <c:y val="2.734731084776663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2355829509485636E-17"/>
              <c:y val="2.734731084776663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34731084776663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2355829509485636E-17"/>
              <c:y val="3.1905195989061053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2355829509485636E-17"/>
              <c:y val="2.734731084776663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34731084776663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789425706472112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2355829509485636E-17"/>
              <c:y val="2.278942570647217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23154056517775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6736554238832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9.1157702825888781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0573E-3"/>
              <c:y val="1.41242937853107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9.4161958568737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0573E-3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82485875706214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9378531071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3.295668549905842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9378531073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3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4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382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3.295668549905829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382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2.82485875706214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3213705371651423E-3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3.295668549905833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2.824858757062144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29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3213705371651423E-3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40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3213705371651211E-3"/>
              <c:y val="2.824858757062144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95668549905837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2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1.883239171374755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412429378531064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9.416195856873737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766478342749528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9.416195856873822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1.412429378531064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55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213705371651423E-3"/>
              <c:y val="1.883239171374755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1.41242937853107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3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3.295668549905829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3213705371651211E-3"/>
              <c:y val="2.354048964218453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8.5115936429494361E-17"/>
              <c:y val="2.82485875706214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8248587570621382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2.3213705371652273E-3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83239171374764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5404896421845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0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8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0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8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7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18518518518519E-3"/>
              <c:y val="1.851851851851851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06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693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06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51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693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5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7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703703703703703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18518518518519E-3"/>
              <c:y val="1.851851851851851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4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7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06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07407407407322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7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51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7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064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07407407407322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0740740740740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5555555555555558E-3"/>
              <c:y val="2.31481481481481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8518518518518519E-3"/>
              <c:y val="2.31481481481481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8518518518518519E-3"/>
              <c:y val="2.31481481481481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77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314814814814814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703703703703703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0740740740740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51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0740740740740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7777777777777693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51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493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480982185844969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034183919114816E-3"/>
              <c:y val="2.237136465324384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2739528165623498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2.237136465324384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1.34228187919462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6961964371690007E-2"/>
              <c:y val="8.948545861297457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274E-3"/>
              <c:y val="1.789709172259505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1.34228187919462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2.684563758389253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082E-2"/>
              <c:y val="1.342281879194628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480982185844969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034183919114105E-3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480982185844969E-2"/>
              <c:y val="2.237136465324384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1.78970917225950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1.789709172259499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2.2371364653243766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1.78970917225950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888781896966779E-2"/>
              <c:y val="2.684563758389253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2.237136465324384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274E-3"/>
              <c:y val="1.34228187919462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1.34228187919462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18440057775638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4.236880115551276E-2"/>
              <c:y val="1.342281879194632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-2.0506847368622806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036109773712085E-2"/>
              <c:y val="1.78970917225950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dLbl>
          <c:idx val="0"/>
          <c:layout>
            <c:manualLayout>
              <c:x val="1.7332691381800675E-2"/>
              <c:y val="0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dLbl>
          <c:idx val="0"/>
          <c:layout>
            <c:manualLayout>
              <c:x val="1.9258545979778528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3332E-3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18440057775638E-2"/>
              <c:y val="8.9485458612974973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dLbl>
          <c:idx val="0"/>
          <c:layout>
            <c:manualLayout>
              <c:x val="2.6961964371689937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dLbl>
          <c:idx val="0"/>
          <c:layout>
            <c:manualLayout>
              <c:x val="1.9258545979778528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dLbl>
          <c:idx val="0"/>
          <c:layout>
            <c:manualLayout>
              <c:x val="2.888781896966779E-2"/>
              <c:y val="4.47427293064868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4.474272930648687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1.34228187919462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1.34228187919463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082E-2"/>
              <c:y val="1.342281879194628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dLbl>
          <c:idx val="0"/>
          <c:layout>
            <c:manualLayout>
              <c:x val="1.5406836783822821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dLbl>
          <c:idx val="0"/>
          <c:layout>
            <c:manualLayout>
              <c:x val="1.3480982185844969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dLbl>
          <c:idx val="0"/>
          <c:layout>
            <c:manualLayout>
              <c:x val="1.7332691381800533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184400577756238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036109773712085E-2"/>
              <c:y val="8.9485458612975806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7775637939335225E-3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8.9485458612974973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18440057775638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184400577756238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18440057775638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8887818969667647E-2"/>
              <c:y val="8.948545861297457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533E-2"/>
              <c:y val="1.342281879194626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dLbl>
          <c:idx val="0"/>
          <c:layout>
            <c:manualLayout>
              <c:x val="1.7332691381800675E-2"/>
              <c:y val="8.948545861297457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dLbl>
          <c:idx val="0"/>
          <c:layout>
            <c:manualLayout>
              <c:x val="1.7332691381800675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0813673567645642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8.948722013775124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2773154800040948E-2"/>
                  <c:h val="6.2572883087600617E-2"/>
                </c:manualLayout>
              </c15:layout>
            </c:ext>
          </c:extLst>
        </c:dLbl>
      </c:pivotFmt>
      <c:pivotFmt>
        <c:idx val="48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5036109773712085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480982185844969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480982185844969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6974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274E-3"/>
              <c:y val="-2.0506847368622806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034183919114105E-3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6974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dLbl>
          <c:idx val="0"/>
          <c:layout>
            <c:manualLayout>
              <c:x val="2.3110255175734198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dLbl>
          <c:idx val="0"/>
          <c:layout>
            <c:manualLayout>
              <c:x val="1.7332691381800675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1.34228187919462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274E-3"/>
              <c:y val="-2.0506847368622806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6974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533E-2"/>
              <c:y val="4.4742729306487287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480982185844934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638E-3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638E-3"/>
              <c:y val="1.34228187919462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18440057775638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5406836783822821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6974E-2"/>
              <c:y val="8.948545861297457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082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274E-3"/>
              <c:y val="-2.0506847368622806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274E-3"/>
              <c:y val="-4.1013694737245612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6974E-2"/>
              <c:y val="4.1013694737245612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480982185844969E-2"/>
              <c:y val="8.9485458612974574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034183919114105E-3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480982185844969E-2"/>
              <c:y val="1.78970917225950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638E-3"/>
              <c:y val="1.34228187919462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6974E-2"/>
              <c:y val="1.34228187919462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034183919114105E-3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034183919114105E-3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638E-3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034183919114105E-3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7775637939335225E-3"/>
              <c:y val="8.9485458612974973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18440057775638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3110255175734232E-2"/>
              <c:y val="4.4742729306487695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118440057775638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2.6961964371689937E-2"/>
              <c:y val="-4.1013694737245612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3.8517091959555643E-3"/>
              <c:y val="2.237136465324384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6292729898892638E-3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2.2371364653243849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6974E-2"/>
              <c:y val="1.789709172259499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1.3422818791946227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dLbl>
          <c:idx val="0"/>
          <c:layout>
            <c:manualLayout>
              <c:x val="1.1555127587867116E-2"/>
              <c:y val="1.78970917225950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dLbl>
          <c:idx val="0"/>
          <c:layout>
            <c:manualLayout>
              <c:x val="9.6292729898892638E-3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7775637939335581E-3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9258545979778528E-2"/>
              <c:y val="1.78970917225950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7775637939335225E-3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1.7897091722594995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dLbl>
          <c:idx val="0"/>
          <c:layout>
            <c:manualLayout>
              <c:x val="7.7034183919114105E-3"/>
              <c:y val="-8.2027389474491224E-17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7775637939335581E-3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7332691381800675E-2"/>
              <c:y val="-8.2027389474491224E-17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555127587867116E-2"/>
              <c:y val="8.948545861297539E-3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5.7775637939335581E-3"/>
              <c:y val="1.342281879194630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7.7034183919114105E-3"/>
              <c:y val="1.7897091722595078E-2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221267352913331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3221267352913331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332514873925703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332514873925703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1.1332514873925703E-2"/>
              <c:y val="0"/>
            </c:manualLayout>
          </c:layout>
          <c:numFmt formatCode="_(* #,##0_);_(* \(#,##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962867538051901"/>
          <c:y val="0.15319483369663536"/>
          <c:w val="0.79242804024496927"/>
          <c:h val="0.526543452901720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'100% Occupancy'!$B$23</c:f>
              <c:strCache>
                <c:ptCount val="1"/>
                <c:pt idx="0">
                  <c:v> Capacity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C8B6-4573-B058-36B0CE33D926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C8B6-4573-B058-36B0CE33D926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C8B6-4573-B058-36B0CE33D926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C8B6-4573-B058-36B0CE33D926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C8B6-4573-B058-36B0CE33D926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C8B6-4573-B058-36B0CE33D926}"/>
              </c:ext>
            </c:extLst>
          </c:dPt>
          <c:dLbls>
            <c:dLbl>
              <c:idx val="2"/>
              <c:layout>
                <c:manualLayout>
                  <c:x val="-9.2353001329379281E-3"/>
                  <c:y val="-8.258162859256211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8B6-4573-B058-36B0CE33D926}"/>
                </c:ext>
              </c:extLst>
            </c:dLbl>
            <c:numFmt formatCode="_(* #,##0_);_(* \(#,##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'100% Occupancy'!$A$24:$A$36</c:f>
              <c:multiLvlStrCache>
                <c:ptCount val="6"/>
                <c:lvl>
                  <c:pt idx="0">
                    <c:v>45%</c:v>
                  </c:pt>
                  <c:pt idx="1">
                    <c:v>75%</c:v>
                  </c:pt>
                  <c:pt idx="2">
                    <c:v>100%</c:v>
                  </c:pt>
                  <c:pt idx="3">
                    <c:v>54%</c:v>
                  </c:pt>
                  <c:pt idx="4">
                    <c:v>63%</c:v>
                  </c:pt>
                  <c:pt idx="5">
                    <c:v>39%</c:v>
                  </c:pt>
                </c:lvl>
                <c:lvl>
                  <c:pt idx="0">
                    <c:v>Expo Global Freeport </c:v>
                  </c:pt>
                  <c:pt idx="1">
                    <c:v>Hirdaramani Woven Client Warehouse </c:v>
                  </c:pt>
                  <c:pt idx="2">
                    <c:v>Kandana DC</c:v>
                  </c:pt>
                  <c:pt idx="3">
                    <c:v>Orugodawatta DC</c:v>
                  </c:pt>
                  <c:pt idx="4">
                    <c:v>Peliyagoda DC</c:v>
                  </c:pt>
                  <c:pt idx="5">
                    <c:v>Orugodawatta DC Cold Room </c:v>
                  </c:pt>
                </c:lvl>
              </c:multiLvlStrCache>
            </c:multiLvlStrRef>
          </c:cat>
          <c:val>
            <c:numRef>
              <c:f>'100% Occupancy'!$B$24:$B$36</c:f>
              <c:numCache>
                <c:formatCode>General</c:formatCode>
                <c:ptCount val="6"/>
                <c:pt idx="0">
                  <c:v>21000</c:v>
                </c:pt>
                <c:pt idx="1">
                  <c:v>4300</c:v>
                </c:pt>
                <c:pt idx="2">
                  <c:v>7500</c:v>
                </c:pt>
                <c:pt idx="3">
                  <c:v>10300</c:v>
                </c:pt>
                <c:pt idx="4">
                  <c:v>10250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8B6-4573-B058-36B0CE33D926}"/>
            </c:ext>
          </c:extLst>
        </c:ser>
        <c:ser>
          <c:idx val="1"/>
          <c:order val="1"/>
          <c:tx>
            <c:strRef>
              <c:f>'100% Occupancy'!$C$23</c:f>
              <c:strCache>
                <c:ptCount val="1"/>
                <c:pt idx="0">
                  <c:v> Occupancy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C8B6-4573-B058-36B0CE33D926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C8B6-4573-B058-36B0CE33D926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C8B6-4573-B058-36B0CE33D926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C8B6-4573-B058-36B0CE33D926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C8B6-4573-B058-36B0CE33D926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C8B6-4573-B058-36B0CE33D926}"/>
              </c:ext>
            </c:extLst>
          </c:dPt>
          <c:dLbls>
            <c:dLbl>
              <c:idx val="2"/>
              <c:layout>
                <c:manualLayout>
                  <c:x val="7.5134337339719014E-3"/>
                  <c:y val="1.822145113216771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8B6-4573-B058-36B0CE33D926}"/>
                </c:ext>
              </c:extLst>
            </c:dLbl>
            <c:numFmt formatCode="_(* #,##0_);_(* \(#,##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'100% Occupancy'!$A$24:$A$36</c:f>
              <c:multiLvlStrCache>
                <c:ptCount val="6"/>
                <c:lvl>
                  <c:pt idx="0">
                    <c:v>45%</c:v>
                  </c:pt>
                  <c:pt idx="1">
                    <c:v>75%</c:v>
                  </c:pt>
                  <c:pt idx="2">
                    <c:v>100%</c:v>
                  </c:pt>
                  <c:pt idx="3">
                    <c:v>54%</c:v>
                  </c:pt>
                  <c:pt idx="4">
                    <c:v>63%</c:v>
                  </c:pt>
                  <c:pt idx="5">
                    <c:v>39%</c:v>
                  </c:pt>
                </c:lvl>
                <c:lvl>
                  <c:pt idx="0">
                    <c:v>Expo Global Freeport </c:v>
                  </c:pt>
                  <c:pt idx="1">
                    <c:v>Hirdaramani Woven Client Warehouse </c:v>
                  </c:pt>
                  <c:pt idx="2">
                    <c:v>Kandana DC</c:v>
                  </c:pt>
                  <c:pt idx="3">
                    <c:v>Orugodawatta DC</c:v>
                  </c:pt>
                  <c:pt idx="4">
                    <c:v>Peliyagoda DC</c:v>
                  </c:pt>
                  <c:pt idx="5">
                    <c:v>Orugodawatta DC Cold Room </c:v>
                  </c:pt>
                </c:lvl>
              </c:multiLvlStrCache>
            </c:multiLvlStrRef>
          </c:cat>
          <c:val>
            <c:numRef>
              <c:f>'100% Occupancy'!$C$24:$C$36</c:f>
              <c:numCache>
                <c:formatCode>General</c:formatCode>
                <c:ptCount val="6"/>
                <c:pt idx="0">
                  <c:v>9403.6718999999994</c:v>
                </c:pt>
                <c:pt idx="1">
                  <c:v>3243.8409999999999</c:v>
                </c:pt>
                <c:pt idx="2">
                  <c:v>7500</c:v>
                </c:pt>
                <c:pt idx="3">
                  <c:v>5558.7183473000014</c:v>
                </c:pt>
                <c:pt idx="4">
                  <c:v>6463.1408999999994</c:v>
                </c:pt>
                <c:pt idx="5">
                  <c:v>39.439366699999859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8B6-4573-B058-36B0CE33D92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774494320"/>
        <c:axId val="-774502480"/>
      </c:barChart>
      <c:catAx>
        <c:axId val="-77449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4502480"/>
        <c:crosses val="autoZero"/>
        <c:auto val="1"/>
        <c:lblAlgn val="ctr"/>
        <c:lblOffset val="100"/>
        <c:noMultiLvlLbl val="0"/>
      </c:catAx>
      <c:valAx>
        <c:axId val="-7745024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CBM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449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1672775676191501E-3"/>
          <c:y val="0.9055646078922216"/>
          <c:w val="0.29408814523184601"/>
          <c:h val="9.14845933275681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plant).xlsx]kandana uti!PivotTable3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'kandana uti'!$B$3</c:f>
              <c:strCache>
                <c:ptCount val="1"/>
                <c:pt idx="0">
                  <c:v>Capacity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'kandana uti'!$A$4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'kandana uti'!$B$4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EAC8-4C3A-A6C2-1C5F2437726F}"/>
            </c:ext>
          </c:extLst>
        </c:ser>
        <c:ser>
          <c:idx val="1"/>
          <c:order val="1"/>
          <c:tx>
            <c:strRef>
              <c:f>'kandana uti'!$C$3</c:f>
              <c:strCache>
                <c:ptCount val="1"/>
                <c:pt idx="0">
                  <c:v>Occupancy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'kandana uti'!$A$4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'kandana uti'!$C$4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1-EAC8-4C3A-A6C2-1C5F24377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74487792"/>
        <c:axId val="-774506832"/>
      </c:barChart>
      <c:catAx>
        <c:axId val="-77448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4506832"/>
        <c:crosses val="autoZero"/>
        <c:auto val="1"/>
        <c:lblAlgn val="ctr"/>
        <c:lblOffset val="100"/>
        <c:noMultiLvlLbl val="0"/>
      </c:catAx>
      <c:valAx>
        <c:axId val="-774506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448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plant).xlsx]kandana uti!PivotTable1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'kandana uti'!$B$26</c:f>
              <c:strCache>
                <c:ptCount val="1"/>
                <c:pt idx="0">
                  <c:v>Capacity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'kandana uti'!$A$27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'kandana uti'!$B$27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71D4-4E26-9DCF-4D9788EA7BAF}"/>
            </c:ext>
          </c:extLst>
        </c:ser>
        <c:ser>
          <c:idx val="1"/>
          <c:order val="1"/>
          <c:tx>
            <c:strRef>
              <c:f>'kandana uti'!$C$26</c:f>
              <c:strCache>
                <c:ptCount val="1"/>
                <c:pt idx="0">
                  <c:v>Occupancy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'kandana uti'!$A$27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'kandana uti'!$C$27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1-71D4-4E26-9DCF-4D9788EA7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74496496"/>
        <c:axId val="-774508464"/>
      </c:barChart>
      <c:catAx>
        <c:axId val="-77449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4508464"/>
        <c:crosses val="autoZero"/>
        <c:auto val="1"/>
        <c:lblAlgn val="ctr"/>
        <c:lblOffset val="100"/>
        <c:noMultiLvlLbl val="0"/>
      </c:catAx>
      <c:valAx>
        <c:axId val="-774508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449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plant).xlsx]kandana sel!PivotTable2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'kandana sel'!$B$1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'kandana sel'!$A$2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'kandana sel'!$B$2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87A7-48AB-8C71-81F6A4D62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74491600"/>
        <c:axId val="-774481264"/>
      </c:barChart>
      <c:catAx>
        <c:axId val="-77449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4481264"/>
        <c:crosses val="autoZero"/>
        <c:auto val="1"/>
        <c:lblAlgn val="ctr"/>
        <c:lblOffset val="100"/>
        <c:noMultiLvlLbl val="0"/>
      </c:catAx>
      <c:valAx>
        <c:axId val="-774481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449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plant).xlsx]kandana sel!PivotTable4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'kandana sel'!$B$24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'kandana sel'!$A$25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'kandana sel'!$B$25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3CD2-4F1B-BD9D-3B5548079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74479088"/>
        <c:axId val="-774498672"/>
      </c:barChart>
      <c:catAx>
        <c:axId val="-77447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4498672"/>
        <c:crosses val="autoZero"/>
        <c:auto val="1"/>
        <c:lblAlgn val="ctr"/>
        <c:lblOffset val="100"/>
        <c:noMultiLvlLbl val="0"/>
      </c:catAx>
      <c:valAx>
        <c:axId val="-774498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447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[WH Occupancy Status (with Mercury plant).xlsx]kandana sel!PivotTable1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'kandana sel'!$B$51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'kandana sel'!$A$52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'kandana sel'!$B$52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5CD8-480F-828A-03FBEF912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74478544"/>
        <c:axId val="-774495952"/>
      </c:barChart>
      <c:catAx>
        <c:axId val="-77447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4495952"/>
        <c:crosses val="autoZero"/>
        <c:auto val="1"/>
        <c:lblAlgn val="ctr"/>
        <c:lblOffset val="100"/>
        <c:noMultiLvlLbl val="0"/>
      </c:catAx>
      <c:valAx>
        <c:axId val="-77449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447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0</xdr:colOff>
      <xdr:row>38</xdr:row>
      <xdr:rowOff>0</xdr:rowOff>
    </xdr:from>
    <xdr:to>
      <xdr:col>39</xdr:col>
      <xdr:colOff>412706</xdr:colOff>
      <xdr:row>52</xdr:row>
      <xdr:rowOff>108306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460331</xdr:colOff>
      <xdr:row>38</xdr:row>
      <xdr:rowOff>0</xdr:rowOff>
    </xdr:from>
    <xdr:to>
      <xdr:col>47</xdr:col>
      <xdr:colOff>153498</xdr:colOff>
      <xdr:row>52</xdr:row>
      <xdr:rowOff>108306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0</xdr:colOff>
      <xdr:row>55</xdr:row>
      <xdr:rowOff>0</xdr:rowOff>
    </xdr:from>
    <xdr:to>
      <xdr:col>47</xdr:col>
      <xdr:colOff>165399</xdr:colOff>
      <xdr:row>70</xdr:row>
      <xdr:rowOff>148088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402925" y="5172075"/>
          <a:ext cx="9309399" cy="300558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74</xdr:row>
      <xdr:rowOff>0</xdr:rowOff>
    </xdr:from>
    <xdr:to>
      <xdr:col>47</xdr:col>
      <xdr:colOff>165399</xdr:colOff>
      <xdr:row>89</xdr:row>
      <xdr:rowOff>148088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402925" y="12030075"/>
          <a:ext cx="9309399" cy="300558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</xdr:row>
      <xdr:rowOff>0</xdr:rowOff>
    </xdr:from>
    <xdr:to>
      <xdr:col>47</xdr:col>
      <xdr:colOff>165399</xdr:colOff>
      <xdr:row>107</xdr:row>
      <xdr:rowOff>148088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402925" y="15459075"/>
          <a:ext cx="9309399" cy="3005588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0.70379</cdr:x>
      <cdr:y>0.26449</cdr:y>
    </cdr:from>
    <cdr:to>
      <cdr:x>1</cdr:x>
      <cdr:y>0.43115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216319" y="734037"/>
          <a:ext cx="1353648" cy="46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1">
              <a:solidFill>
                <a:schemeClr val="accent5">
                  <a:lumMod val="75000"/>
                </a:schemeClr>
              </a:solidFill>
            </a:rPr>
            <a:t>For</a:t>
          </a:r>
          <a:r>
            <a:rPr lang="en-US" sz="1000" b="1" baseline="0">
              <a:solidFill>
                <a:schemeClr val="accent5">
                  <a:lumMod val="75000"/>
                </a:schemeClr>
              </a:solidFill>
            </a:rPr>
            <a:t> UK DC - </a:t>
          </a:r>
          <a:r>
            <a:rPr lang="en-US" sz="1000" b="1">
              <a:solidFill>
                <a:schemeClr val="accent5">
                  <a:lumMod val="75000"/>
                </a:schemeClr>
              </a:solidFill>
            </a:rPr>
            <a:t>4,500 sqft</a:t>
          </a:r>
          <a:r>
            <a:rPr lang="en-US" sz="1000" b="1" baseline="0">
              <a:solidFill>
                <a:schemeClr val="accent5">
                  <a:lumMod val="75000"/>
                </a:schemeClr>
              </a:solidFill>
            </a:rPr>
            <a:t> </a:t>
          </a:r>
          <a:endParaRPr lang="en-US" sz="1000" b="1">
            <a:solidFill>
              <a:schemeClr val="accent5">
                <a:lumMod val="75000"/>
              </a:schemeClr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225425</xdr:colOff>
      <xdr:row>1</xdr:row>
      <xdr:rowOff>101600</xdr:rowOff>
    </xdr:from>
    <xdr:to>
      <xdr:col>13</xdr:col>
      <xdr:colOff>358775</xdr:colOff>
      <xdr:row>20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5</xdr:row>
      <xdr:rowOff>100012</xdr:rowOff>
    </xdr:from>
    <xdr:to>
      <xdr:col>10</xdr:col>
      <xdr:colOff>209550</xdr:colOff>
      <xdr:row>19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5</xdr:row>
      <xdr:rowOff>4762</xdr:rowOff>
    </xdr:from>
    <xdr:to>
      <xdr:col>10</xdr:col>
      <xdr:colOff>152400</xdr:colOff>
      <xdr:row>19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887412</xdr:colOff>
      <xdr:row>1</xdr:row>
      <xdr:rowOff>51380</xdr:rowOff>
    </xdr:from>
    <xdr:to>
      <xdr:col>9</xdr:col>
      <xdr:colOff>598487</xdr:colOff>
      <xdr:row>15</xdr:row>
      <xdr:rowOff>121230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2</xdr:row>
      <xdr:rowOff>71436</xdr:rowOff>
    </xdr:from>
    <xdr:to>
      <xdr:col>13</xdr:col>
      <xdr:colOff>542925</xdr:colOff>
      <xdr:row>21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30</xdr:row>
      <xdr:rowOff>76200</xdr:rowOff>
    </xdr:from>
    <xdr:to>
      <xdr:col>11</xdr:col>
      <xdr:colOff>428625</xdr:colOff>
      <xdr:row>45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30</xdr:row>
      <xdr:rowOff>114300</xdr:rowOff>
    </xdr:from>
    <xdr:to>
      <xdr:col>5</xdr:col>
      <xdr:colOff>307975</xdr:colOff>
      <xdr:row>45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34925</xdr:colOff>
      <xdr:row>9</xdr:row>
      <xdr:rowOff>133350</xdr:rowOff>
    </xdr:from>
    <xdr:to>
      <xdr:col>8</xdr:col>
      <xdr:colOff>883031</xdr:colOff>
      <xdr:row>24</xdr:row>
      <xdr:rowOff>68580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732</xdr:col>
      <xdr:colOff>254000</xdr:colOff>
      <xdr:row>13</xdr:row>
      <xdr:rowOff>12334</xdr:rowOff>
    </xdr:from>
    <xdr:to>
      <xdr:col>737</xdr:col>
      <xdr:colOff>526021</xdr:colOff>
      <xdr:row>29</xdr:row>
      <xdr:rowOff>14592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18D6D8-18D8-4B72-94E0-2FD8834771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732</xdr:col>
      <xdr:colOff>106066</xdr:colOff>
      <xdr:row>48</xdr:row>
      <xdr:rowOff>44408</xdr:rowOff>
    </xdr:from>
    <xdr:to>
      <xdr:col>736</xdr:col>
      <xdr:colOff>333989</xdr:colOff>
      <xdr:row>53</xdr:row>
      <xdr:rowOff>174867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3E61E4-B7BC-4A16-9697-D9C3340413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737</xdr:col>
      <xdr:colOff>785667</xdr:colOff>
      <xdr:row>28</xdr:row>
      <xdr:rowOff>151666</xdr:rowOff>
    </xdr:from>
    <xdr:to>
      <xdr:col>743</xdr:col>
      <xdr:colOff>373944</xdr:colOff>
      <xdr:row>44</xdr:row>
      <xdr:rowOff>162278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7BB7C09-0B47-48F1-8399-239F839628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540</xdr:col>
      <xdr:colOff>668513</xdr:colOff>
      <xdr:row>28</xdr:row>
      <xdr:rowOff>50093</xdr:rowOff>
    </xdr:from>
    <xdr:to>
      <xdr:col>547</xdr:col>
      <xdr:colOff>710847</xdr:colOff>
      <xdr:row>42</xdr:row>
      <xdr:rowOff>91016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59BD4F8-297A-43AA-945E-C6000CCC11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733</xdr:col>
      <xdr:colOff>1030111</xdr:colOff>
      <xdr:row>33</xdr:row>
      <xdr:rowOff>148167</xdr:rowOff>
    </xdr:from>
    <xdr:to>
      <xdr:col>733</xdr:col>
      <xdr:colOff>1150056</xdr:colOff>
      <xdr:row>34</xdr:row>
      <xdr:rowOff>134055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612A38C-3CEB-48A9-9FBF-60386B95F40C}"/>
            </a:ext>
          </a:extLst>
        </xdr:cNvPr>
        <xdr:cNvSpPr/>
      </xdr:nvSpPr>
      <xdr:spPr>
        <a:xfrm>
          <a:off x="638760611" y="7253817"/>
          <a:ext cx="119945" cy="170038"/>
        </a:xfrm>
        <a:prstGeom prst="rect">
          <a:avLst/>
        </a:prstGeom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735</xdr:col>
      <xdr:colOff>321733</xdr:colOff>
      <xdr:row>38</xdr:row>
      <xdr:rowOff>117122</xdr:rowOff>
    </xdr:from>
    <xdr:to>
      <xdr:col>735</xdr:col>
      <xdr:colOff>441678</xdr:colOff>
      <xdr:row>39</xdr:row>
      <xdr:rowOff>103011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FB187274-CFF4-4057-A651-C4C8710F5FCD}"/>
            </a:ext>
          </a:extLst>
        </xdr:cNvPr>
        <xdr:cNvSpPr/>
      </xdr:nvSpPr>
      <xdr:spPr>
        <a:xfrm>
          <a:off x="640877983" y="8143522"/>
          <a:ext cx="119945" cy="170039"/>
        </a:xfrm>
        <a:prstGeom prst="rect">
          <a:avLst/>
        </a:prstGeom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732</xdr:col>
      <xdr:colOff>622654</xdr:colOff>
      <xdr:row>29</xdr:row>
      <xdr:rowOff>111830</xdr:rowOff>
    </xdr:from>
    <xdr:to>
      <xdr:col>736</xdr:col>
      <xdr:colOff>852341</xdr:colOff>
      <xdr:row>44</xdr:row>
      <xdr:rowOff>58525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F3C88AB-98ED-4435-8C05-D707223C49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</xdr:colOff>
      <xdr:row>8</xdr:row>
      <xdr:rowOff>38100</xdr:rowOff>
    </xdr:from>
    <xdr:to>
      <xdr:col>16</xdr:col>
      <xdr:colOff>68580</xdr:colOff>
      <xdr:row>27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B1E04-48EF-4E8D-FE00-F9A5F27AD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285750</xdr:colOff>
      <xdr:row>2</xdr:row>
      <xdr:rowOff>19051</xdr:rowOff>
    </xdr:from>
    <xdr:to>
      <xdr:col>19</xdr:col>
      <xdr:colOff>57150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45934</xdr:colOff>
      <xdr:row>646</xdr:row>
      <xdr:rowOff>48993</xdr:rowOff>
    </xdr:from>
    <xdr:to>
      <xdr:col>31</xdr:col>
      <xdr:colOff>662224</xdr:colOff>
      <xdr:row>662</xdr:row>
      <xdr:rowOff>22158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BD2EB7-C7D3-4922-A866-48DA527B6E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220981</xdr:colOff>
      <xdr:row>6</xdr:row>
      <xdr:rowOff>0</xdr:rowOff>
    </xdr:from>
    <xdr:to>
      <xdr:col>7</xdr:col>
      <xdr:colOff>705556</xdr:colOff>
      <xdr:row>20</xdr:row>
      <xdr:rowOff>163830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96C8AF8-5F44-4705-88E8-F40502FAA1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739330</xdr:colOff>
      <xdr:row>6</xdr:row>
      <xdr:rowOff>0</xdr:rowOff>
    </xdr:from>
    <xdr:to>
      <xdr:col>16</xdr:col>
      <xdr:colOff>217500</xdr:colOff>
      <xdr:row>20</xdr:row>
      <xdr:rowOff>160020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5B04BF2-F399-4CBA-B5A3-0F70B5E21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31433</xdr:rowOff>
    </xdr:from>
    <xdr:to>
      <xdr:col>5</xdr:col>
      <xdr:colOff>739360</xdr:colOff>
      <xdr:row>65</xdr:row>
      <xdr:rowOff>112443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3B5A845-72FA-491A-95B4-FF72E109A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215900</xdr:colOff>
      <xdr:row>21</xdr:row>
      <xdr:rowOff>88106</xdr:rowOff>
    </xdr:from>
    <xdr:to>
      <xdr:col>7</xdr:col>
      <xdr:colOff>723900</xdr:colOff>
      <xdr:row>37</xdr:row>
      <xdr:rowOff>134679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2B69D-1CDA-4899-8543-7B0CA9FEB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0.20433</cdr:x>
      <cdr:y>0.05608</cdr:y>
    </cdr:from>
    <cdr:to>
      <cdr:x>0.30052</cdr:x>
      <cdr:y>0.10933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5269AC6-2624-1E26-5854-B4AE646A9E0B}"/>
            </a:ext>
          </a:extLst>
        </cdr:cNvPr>
        <cdr:cNvSpPr txBox="1"/>
      </cdr:nvSpPr>
      <cdr:spPr>
        <a:xfrm xmlns:a="http://schemas.openxmlformats.org/drawingml/2006/main">
          <a:off x="886957" y="164904"/>
          <a:ext cx="417534" cy="156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1430</xdr:rowOff>
    </xdr:from>
    <xdr:to>
      <xdr:col>7</xdr:col>
      <xdr:colOff>631902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DDCDD-C608-4278-8966-AFB3146D89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64634</xdr:rowOff>
    </xdr:from>
    <xdr:to>
      <xdr:col>7</xdr:col>
      <xdr:colOff>622610</xdr:colOff>
      <xdr:row>37</xdr:row>
      <xdr:rowOff>175259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A8D5A7-46F7-4D63-A7F5-2E4D426BBA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719849</xdr:colOff>
      <xdr:row>6</xdr:row>
      <xdr:rowOff>27878</xdr:rowOff>
    </xdr:from>
    <xdr:to>
      <xdr:col>17</xdr:col>
      <xdr:colOff>314273</xdr:colOff>
      <xdr:row>22</xdr:row>
      <xdr:rowOff>9665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46552-910C-4384-9CCA-B47F22A0D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38</xdr:row>
      <xdr:rowOff>106680</xdr:rowOff>
    </xdr:from>
    <xdr:to>
      <xdr:col>17</xdr:col>
      <xdr:colOff>315951</xdr:colOff>
      <xdr:row>54</xdr:row>
      <xdr:rowOff>74765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BC280C8-5B1A-4F3D-B275-9E9F3E9AD6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71</xdr:row>
      <xdr:rowOff>0</xdr:rowOff>
    </xdr:from>
    <xdr:to>
      <xdr:col>6</xdr:col>
      <xdr:colOff>426940</xdr:colOff>
      <xdr:row>85</xdr:row>
      <xdr:rowOff>180546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66F959D-8830-4F03-81F8-8A3B3DF75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715108</xdr:colOff>
      <xdr:row>22</xdr:row>
      <xdr:rowOff>105508</xdr:rowOff>
    </xdr:from>
    <xdr:to>
      <xdr:col>17</xdr:col>
      <xdr:colOff>304800</xdr:colOff>
      <xdr:row>37</xdr:row>
      <xdr:rowOff>183342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F7A8A5B-972B-4F6E-B206-864BE5257E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0.20433</cdr:x>
      <cdr:y>0.05608</cdr:y>
    </cdr:from>
    <cdr:to>
      <cdr:x>0.30052</cdr:x>
      <cdr:y>0.10933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5269AC6-2624-1E26-5854-B4AE646A9E0B}"/>
            </a:ext>
          </a:extLst>
        </cdr:cNvPr>
        <cdr:cNvSpPr txBox="1"/>
      </cdr:nvSpPr>
      <cdr:spPr>
        <a:xfrm xmlns:a="http://schemas.openxmlformats.org/drawingml/2006/main">
          <a:off x="886957" y="164904"/>
          <a:ext cx="417534" cy="156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36</xdr:row>
      <xdr:rowOff>1430</xdr:rowOff>
    </xdr:from>
    <xdr:to>
      <xdr:col>7</xdr:col>
      <xdr:colOff>631902</xdr:colOff>
      <xdr:row>51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B3C9F-E8F5-4A3C-A357-7548218444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52</xdr:row>
      <xdr:rowOff>64634</xdr:rowOff>
    </xdr:from>
    <xdr:to>
      <xdr:col>7</xdr:col>
      <xdr:colOff>622610</xdr:colOff>
      <xdr:row>67</xdr:row>
      <xdr:rowOff>175259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D8D04E-BCF5-4E00-85D6-AA1ED0E0FD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688429</xdr:colOff>
      <xdr:row>36</xdr:row>
      <xdr:rowOff>9063</xdr:rowOff>
    </xdr:from>
    <xdr:to>
      <xdr:col>17</xdr:col>
      <xdr:colOff>97904</xdr:colOff>
      <xdr:row>51</xdr:row>
      <xdr:rowOff>169590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A80B9B-218E-45E3-9F13-AAD4DA72E4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68</xdr:row>
      <xdr:rowOff>106680</xdr:rowOff>
    </xdr:from>
    <xdr:to>
      <xdr:col>17</xdr:col>
      <xdr:colOff>103481</xdr:colOff>
      <xdr:row>84</xdr:row>
      <xdr:rowOff>74765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E41363-904F-4F1B-9AE8-5095B8A97D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101</xdr:row>
      <xdr:rowOff>0</xdr:rowOff>
    </xdr:from>
    <xdr:to>
      <xdr:col>6</xdr:col>
      <xdr:colOff>426940</xdr:colOff>
      <xdr:row>115</xdr:row>
      <xdr:rowOff>180546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0CD83A9-0344-441F-BD00-B7D5B2A1FF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693094</xdr:colOff>
      <xdr:row>52</xdr:row>
      <xdr:rowOff>77287</xdr:rowOff>
    </xdr:from>
    <xdr:to>
      <xdr:col>17</xdr:col>
      <xdr:colOff>97837</xdr:colOff>
      <xdr:row>67</xdr:row>
      <xdr:rowOff>155121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9035E01-FFF9-4FFC-92B1-774D79899E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0.20433</cdr:x>
      <cdr:y>0.05608</cdr:y>
    </cdr:from>
    <cdr:to>
      <cdr:x>0.30052</cdr:x>
      <cdr:y>0.10933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5269AC6-2624-1E26-5854-B4AE646A9E0B}"/>
            </a:ext>
          </a:extLst>
        </cdr:cNvPr>
        <cdr:cNvSpPr txBox="1"/>
      </cdr:nvSpPr>
      <cdr:spPr>
        <a:xfrm xmlns:a="http://schemas.openxmlformats.org/drawingml/2006/main">
          <a:off x="886957" y="164904"/>
          <a:ext cx="417534" cy="156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577851</xdr:colOff>
      <xdr:row>7</xdr:row>
      <xdr:rowOff>165102</xdr:rowOff>
    </xdr:from>
    <xdr:to>
      <xdr:col>18</xdr:col>
      <xdr:colOff>603250</xdr:colOff>
      <xdr:row>25</xdr:row>
      <xdr:rowOff>114725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6D6FA3-F21F-A6C6-BD91-8AE052E33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918</xdr:col>
      <xdr:colOff>860051</xdr:colOff>
      <xdr:row>10</xdr:row>
      <xdr:rowOff>145677</xdr:rowOff>
    </xdr:from>
    <xdr:to>
      <xdr:col>923</xdr:col>
      <xdr:colOff>448957</xdr:colOff>
      <xdr:row>26</xdr:row>
      <xdr:rowOff>151555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918</xdr:col>
      <xdr:colOff>139684</xdr:colOff>
      <xdr:row>48</xdr:row>
      <xdr:rowOff>44408</xdr:rowOff>
    </xdr:from>
    <xdr:to>
      <xdr:col>922</xdr:col>
      <xdr:colOff>367607</xdr:colOff>
      <xdr:row>53</xdr:row>
      <xdr:rowOff>207921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540</xdr:col>
      <xdr:colOff>668513</xdr:colOff>
      <xdr:row>28</xdr:row>
      <xdr:rowOff>50093</xdr:rowOff>
    </xdr:from>
    <xdr:to>
      <xdr:col>547</xdr:col>
      <xdr:colOff>710847</xdr:colOff>
      <xdr:row>42</xdr:row>
      <xdr:rowOff>91016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919</xdr:col>
      <xdr:colOff>1030111</xdr:colOff>
      <xdr:row>33</xdr:row>
      <xdr:rowOff>148167</xdr:rowOff>
    </xdr:from>
    <xdr:to>
      <xdr:col>919</xdr:col>
      <xdr:colOff>1150056</xdr:colOff>
      <xdr:row>34</xdr:row>
      <xdr:rowOff>134055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685891026" y="7593766"/>
          <a:ext cx="119945" cy="173704"/>
        </a:xfrm>
        <a:prstGeom prst="rect">
          <a:avLst/>
        </a:prstGeom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921</xdr:col>
      <xdr:colOff>321733</xdr:colOff>
      <xdr:row>38</xdr:row>
      <xdr:rowOff>117122</xdr:rowOff>
    </xdr:from>
    <xdr:to>
      <xdr:col>921</xdr:col>
      <xdr:colOff>441678</xdr:colOff>
      <xdr:row>39</xdr:row>
      <xdr:rowOff>103011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687879163" y="8501805"/>
          <a:ext cx="119945" cy="173706"/>
        </a:xfrm>
        <a:prstGeom prst="rect">
          <a:avLst/>
        </a:prstGeom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929</xdr:col>
      <xdr:colOff>170216</xdr:colOff>
      <xdr:row>28</xdr:row>
      <xdr:rowOff>151517</xdr:rowOff>
    </xdr:from>
    <xdr:to>
      <xdr:col>930</xdr:col>
      <xdr:colOff>161778</xdr:colOff>
      <xdr:row>43</xdr:row>
      <xdr:rowOff>98213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918</xdr:col>
      <xdr:colOff>914415</xdr:colOff>
      <xdr:row>27</xdr:row>
      <xdr:rowOff>139405</xdr:rowOff>
    </xdr:from>
    <xdr:to>
      <xdr:col>923</xdr:col>
      <xdr:colOff>339606</xdr:colOff>
      <xdr:row>43</xdr:row>
      <xdr:rowOff>78441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D755892-171B-4062-A96D-35AD6F676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923</xdr:col>
      <xdr:colOff>689940</xdr:colOff>
      <xdr:row>10</xdr:row>
      <xdr:rowOff>144247</xdr:rowOff>
    </xdr:from>
    <xdr:to>
      <xdr:col>928</xdr:col>
      <xdr:colOff>431029</xdr:colOff>
      <xdr:row>26</xdr:row>
      <xdr:rowOff>146503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3A06D39-EBB6-4C9E-89A1-E693091CC8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923</xdr:col>
      <xdr:colOff>733425</xdr:colOff>
      <xdr:row>27</xdr:row>
      <xdr:rowOff>138265</xdr:rowOff>
    </xdr:from>
    <xdr:to>
      <xdr:col>928</xdr:col>
      <xdr:colOff>583791</xdr:colOff>
      <xdr:row>43</xdr:row>
      <xdr:rowOff>91807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0.20433</cdr:x>
      <cdr:y>0.05608</cdr:y>
    </cdr:from>
    <cdr:to>
      <cdr:x>0.30052</cdr:x>
      <cdr:y>0.10933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5269AC6-2624-1E26-5854-B4AE646A9E0B}"/>
            </a:ext>
          </a:extLst>
        </cdr:cNvPr>
        <cdr:cNvSpPr txBox="1"/>
      </cdr:nvSpPr>
      <cdr:spPr>
        <a:xfrm xmlns:a="http://schemas.openxmlformats.org/drawingml/2006/main">
          <a:off x="886957" y="164904"/>
          <a:ext cx="417534" cy="156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412</xdr:col>
      <xdr:colOff>432663</xdr:colOff>
      <xdr:row>111</xdr:row>
      <xdr:rowOff>82788</xdr:rowOff>
    </xdr:from>
    <xdr:to>
      <xdr:col>573</xdr:col>
      <xdr:colOff>239577</xdr:colOff>
      <xdr:row>125</xdr:row>
      <xdr:rowOff>110753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562</xdr:col>
      <xdr:colOff>49390</xdr:colOff>
      <xdr:row>7</xdr:row>
      <xdr:rowOff>285750</xdr:rowOff>
    </xdr:from>
    <xdr:to>
      <xdr:col>569</xdr:col>
      <xdr:colOff>1088702</xdr:colOff>
      <xdr:row>21</xdr:row>
      <xdr:rowOff>146897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563</xdr:col>
      <xdr:colOff>409220</xdr:colOff>
      <xdr:row>22</xdr:row>
      <xdr:rowOff>155223</xdr:rowOff>
    </xdr:from>
    <xdr:to>
      <xdr:col>568</xdr:col>
      <xdr:colOff>1180420</xdr:colOff>
      <xdr:row>37</xdr:row>
      <xdr:rowOff>101036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561</xdr:col>
      <xdr:colOff>69544</xdr:colOff>
      <xdr:row>42</xdr:row>
      <xdr:rowOff>129490</xdr:rowOff>
    </xdr:from>
    <xdr:to>
      <xdr:col>569</xdr:col>
      <xdr:colOff>389189</xdr:colOff>
      <xdr:row>54</xdr:row>
      <xdr:rowOff>286970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569</xdr:col>
      <xdr:colOff>1171220</xdr:colOff>
      <xdr:row>7</xdr:row>
      <xdr:rowOff>282222</xdr:rowOff>
    </xdr:from>
    <xdr:to>
      <xdr:col>576</xdr:col>
      <xdr:colOff>58587</xdr:colOff>
      <xdr:row>21</xdr:row>
      <xdr:rowOff>143369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224790</xdr:colOff>
      <xdr:row>3</xdr:row>
      <xdr:rowOff>140970</xdr:rowOff>
    </xdr:from>
    <xdr:to>
      <xdr:col>20</xdr:col>
      <xdr:colOff>243205</xdr:colOff>
      <xdr:row>27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185737</xdr:colOff>
      <xdr:row>1</xdr:row>
      <xdr:rowOff>80962</xdr:rowOff>
    </xdr:from>
    <xdr:to>
      <xdr:col>13</xdr:col>
      <xdr:colOff>80962</xdr:colOff>
      <xdr:row>15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204787</xdr:colOff>
      <xdr:row>27</xdr:row>
      <xdr:rowOff>138112</xdr:rowOff>
    </xdr:from>
    <xdr:to>
      <xdr:col>10</xdr:col>
      <xdr:colOff>109537</xdr:colOff>
      <xdr:row>42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857250</xdr:colOff>
      <xdr:row>1</xdr:row>
      <xdr:rowOff>47625</xdr:rowOff>
    </xdr:from>
    <xdr:to>
      <xdr:col>8</xdr:col>
      <xdr:colOff>323850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623887</xdr:colOff>
      <xdr:row>23</xdr:row>
      <xdr:rowOff>71437</xdr:rowOff>
    </xdr:from>
    <xdr:to>
      <xdr:col>7</xdr:col>
      <xdr:colOff>452437</xdr:colOff>
      <xdr:row>37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1042987</xdr:colOff>
      <xdr:row>44</xdr:row>
      <xdr:rowOff>176212</xdr:rowOff>
    </xdr:from>
    <xdr:to>
      <xdr:col>6</xdr:col>
      <xdr:colOff>80962</xdr:colOff>
      <xdr:row>59</xdr:row>
      <xdr:rowOff>61912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xpofreight.sharepoint.com/sites/LPPL_DSASTeam/Shared%20Documents/General/Team%20members%20Docs/Sathruhan/Reports-%20WH%20utilization/Data%20Base-%20Final.xlsx" TargetMode="External"/><Relationship Id="rId1" Type="http://schemas.openxmlformats.org/officeDocument/2006/relationships/externalLinkPath" Target="Data%20Base-%20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FC"/>
      <sheetName val="PFC"/>
      <sheetName val="KFC"/>
      <sheetName val="EGF"/>
      <sheetName val="Summary"/>
      <sheetName val="SOFT"/>
      <sheetName val="HIDFB"/>
      <sheetName val="ARS"/>
      <sheetName val="HMS"/>
      <sheetName val="Durdan"/>
      <sheetName val="Location"/>
      <sheetName val="Ageing-OFC"/>
      <sheetName val="Ageing-KFC"/>
      <sheetName val="Ageing-PFC"/>
      <sheetName val="Ageing-EGF"/>
      <sheetName val="Age-Sum"/>
      <sheetName val="Client_Code"/>
    </sheetNames>
    <sheetDataSet>
      <sheetData sheetId="0"/>
      <sheetData sheetId="1"/>
      <sheetData sheetId="2"/>
      <sheetData sheetId="3"/>
      <sheetData sheetId="4">
        <row r="5">
          <cell r="C5">
            <v>6155.6408999999994</v>
          </cell>
        </row>
        <row r="6">
          <cell r="C6">
            <v>7676.0394999999999</v>
          </cell>
        </row>
        <row r="7">
          <cell r="C7">
            <v>4837.7183473000014</v>
          </cell>
        </row>
        <row r="8">
          <cell r="C8">
            <v>8773.6718999999994</v>
          </cell>
        </row>
        <row r="11">
          <cell r="C11">
            <v>3114.8409999999999</v>
          </cell>
        </row>
        <row r="12">
          <cell r="C12">
            <v>36.439366699999859</v>
          </cell>
        </row>
      </sheetData>
      <sheetData sheetId="5"/>
      <sheetData sheetId="6"/>
      <sheetData sheetId="7"/>
      <sheetData sheetId="8"/>
      <sheetData sheetId="9"/>
      <sheetData sheetId="10"/>
      <sheetData sheetId="11">
        <row r="2">
          <cell r="I2">
            <v>713.9</v>
          </cell>
        </row>
      </sheetData>
      <sheetData sheetId="12">
        <row r="3">
          <cell r="I3">
            <v>1923.35</v>
          </cell>
        </row>
      </sheetData>
      <sheetData sheetId="13">
        <row r="2">
          <cell r="I2">
            <v>1070.1400000000001</v>
          </cell>
        </row>
      </sheetData>
      <sheetData sheetId="14">
        <row r="2">
          <cell r="I2">
            <v>2894.76</v>
          </cell>
        </row>
      </sheetData>
      <sheetData sheetId="15">
        <row r="2">
          <cell r="C2" t="str">
            <v>HIRDARAMANI GARMENTS</v>
          </cell>
          <cell r="D2">
            <v>800.04</v>
          </cell>
          <cell r="E2" t="str">
            <v>2915.68</v>
          </cell>
        </row>
        <row r="3">
          <cell r="C3" t="str">
            <v>VICUNHA EUROPE S.A.R.L</v>
          </cell>
          <cell r="D3">
            <v>775.62</v>
          </cell>
          <cell r="E3" t="str">
            <v>1359.78</v>
          </cell>
        </row>
        <row r="4">
          <cell r="C4" t="str">
            <v>OMEGA LINE LTD</v>
          </cell>
          <cell r="D4">
            <v>322.33999999999997</v>
          </cell>
          <cell r="E4" t="str">
            <v>1485.93</v>
          </cell>
        </row>
        <row r="5">
          <cell r="C5" t="str">
            <v>MAS KREEDA</v>
          </cell>
          <cell r="D5">
            <v>1923.35</v>
          </cell>
          <cell r="E5" t="str">
            <v>7089.65</v>
          </cell>
        </row>
        <row r="6">
          <cell r="C6" t="str">
            <v>EDOTCO</v>
          </cell>
          <cell r="D6">
            <v>209.13</v>
          </cell>
          <cell r="E6" t="str">
            <v>209.13</v>
          </cell>
        </row>
        <row r="7">
          <cell r="C7" t="str">
            <v>HEMAS</v>
          </cell>
          <cell r="D7">
            <v>271.58</v>
          </cell>
          <cell r="E7" t="str">
            <v>899.42</v>
          </cell>
        </row>
        <row r="8">
          <cell r="C8" t="str">
            <v xml:space="preserve">MILLENNIUM I.T.E.S.P </v>
          </cell>
          <cell r="D8">
            <v>121.23</v>
          </cell>
          <cell r="E8" t="str">
            <v>147.12</v>
          </cell>
        </row>
        <row r="9">
          <cell r="C9" t="str">
            <v>LINEA AQUA</v>
          </cell>
          <cell r="D9">
            <v>68.63</v>
          </cell>
          <cell r="E9" t="str">
            <v>447.85</v>
          </cell>
        </row>
        <row r="10">
          <cell r="C10" t="str">
            <v>MAS KREEDA</v>
          </cell>
          <cell r="D10">
            <v>281.5</v>
          </cell>
          <cell r="E10" t="str">
            <v>2649.22</v>
          </cell>
        </row>
        <row r="11">
          <cell r="C11" t="str">
            <v>MAS KREEDA</v>
          </cell>
          <cell r="D11">
            <v>182.02</v>
          </cell>
          <cell r="E11" t="str">
            <v>247.18</v>
          </cell>
        </row>
        <row r="12">
          <cell r="C12" t="str">
            <v>MAS ACTIVE</v>
          </cell>
          <cell r="D12">
            <v>148.12</v>
          </cell>
          <cell r="E12" t="str">
            <v>1417.10</v>
          </cell>
        </row>
      </sheetData>
      <sheetData sheetId="1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an Nakandala" refreshedDate="44648.368285648146" createdVersion="5" refreshedVersion="5" minRefreshableVersion="3" recordCount="5" xr:uid="{00000000-000A-0000-FFFF-FFFF08000000}">
  <cacheSource type="worksheet">
    <worksheetSource ref="AII86:AIO91" sheet="All WH"/>
  </cacheSource>
  <cacheFields count="7">
    <cacheField name="Site" numFmtId="0">
      <sharedItems count="6">
        <s v="Expo Global Freeport "/>
        <s v="Kandana DC"/>
        <s v="Orugodawatta DC"/>
        <s v="Orugodawatta DC Cold Room "/>
        <s v="Peliyagoda DC"/>
        <s v="Cold Room Orugodawatta DC" u="1"/>
      </sharedItems>
    </cacheField>
    <cacheField name="Measurement" numFmtId="0">
      <sharedItems/>
    </cacheField>
    <cacheField name="Cargo volume Capacity " numFmtId="164">
      <sharedItems containsSemiMixedTypes="0" containsString="0" containsNumber="1" containsInteger="1" minValue="100" maxValue="18000"/>
    </cacheField>
    <cacheField name="On hand inventory" numFmtId="164">
      <sharedItems containsSemiMixedTypes="0" containsString="0" containsNumber="1" minValue="12.377879299999936" maxValue="18071.055099999925"/>
    </cacheField>
    <cacheField name="Unoccupied Space" numFmtId="164">
      <sharedItems containsMixedTypes="1" containsNumber="1" minValue="87.622120700000067" maxValue="408.15727929999957"/>
    </cacheField>
    <cacheField name="For demand fluctuations + Honeycomb" numFmtId="164">
      <sharedItems containsSemiMixedTypes="0" containsString="0" containsNumber="1" minValue="3" maxValue="540"/>
    </cacheField>
    <cacheField name="Actual Sellable" numFmtId="164">
      <sharedItems containsMixedTypes="1" containsNumber="1" minValue="84.622120700000067" maxValue="84.6221207000000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hruhan Sivalogithan" refreshedDate="44963.376932754632" createdVersion="8" refreshedVersion="8" minRefreshableVersion="3" recordCount="80" xr:uid="{05DA8FE7-D8D2-4BF9-98E9-9494640A0F26}">
  <cacheSource type="worksheet">
    <worksheetSource ref="D1:D1048576" sheet="Sellable.V Trend Analysis"/>
  </cacheSource>
  <cacheFields count="2">
    <cacheField name="Date" numFmtId="0">
      <sharedItems containsNonDate="0" containsDate="1" containsString="0" containsBlank="1" minDate="2022-09-28T00:00:00" maxDate="2023-02-04T00:00:00"/>
    </cacheField>
    <cacheField name="CBM" numFmtId="0">
      <sharedItems containsString="0" containsBlank="1" containsNumber="1" minValue="7360" maxValue="15568.097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hruhan Sivalogithan" refreshedDate="45128.407596296296" createdVersion="8" refreshedVersion="8" minRefreshableVersion="3" recordCount="178" xr:uid="{304371A7-2CBE-4433-8631-3701AE95470C}">
  <cacheSource type="worksheet">
    <worksheetSource ref="B1:H1048576" sheet="Average Sellable Space (Monday)"/>
  </cacheSource>
  <cacheFields count="7">
    <cacheField name="Week #" numFmtId="0">
      <sharedItems containsString="0" containsBlank="1" containsNumber="1" containsInteger="1" minValue="0" maxValue="55" count="43">
        <n v="44"/>
        <n v="45"/>
        <n v="46"/>
        <n v="47"/>
        <n v="48"/>
        <n v="49"/>
        <n v="50"/>
        <n v="51"/>
        <n v="52"/>
        <n v="53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m/>
        <n v="0" u="1"/>
        <n v="54" u="1"/>
        <n v="55" u="1"/>
      </sharedItems>
    </cacheField>
    <cacheField name="Date" numFmtId="0">
      <sharedItems containsNonDate="0" containsDate="1" containsString="0" containsBlank="1" minDate="2022-10-25T00:00:00" maxDate="2023-07-22T00:00:00"/>
    </cacheField>
    <cacheField name="Expo Global Freeport " numFmtId="0">
      <sharedItems containsString="0" containsBlank="1" containsNumber="1" minValue="3664" maxValue="11596.328100000001"/>
    </cacheField>
    <cacheField name="Kandana DC" numFmtId="0">
      <sharedItems containsBlank="1" containsMixedTypes="1" containsNumber="1" minValue="0" maxValue="368.28650000000016"/>
    </cacheField>
    <cacheField name="Orugodawatta DC" numFmtId="0">
      <sharedItems containsString="0" containsBlank="1" containsNumber="1" minValue="2959" maxValue="6155.8455259999992"/>
    </cacheField>
    <cacheField name="Orugodawatta DC Cold Room " numFmtId="0">
      <sharedItems containsString="0" containsBlank="1" containsNumber="1" minValue="53.419265100000146" maxValue="88.06064200000003"/>
    </cacheField>
    <cacheField name="Peliyagoda DC" numFmtId="0">
      <sharedItems containsString="0" containsBlank="1" containsNumber="1" minValue="1017.2301000000007" maxValue="3924.16709999999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hruhan Sivalogithan" refreshedDate="45128.407597685182" createdVersion="5" refreshedVersion="8" minRefreshableVersion="3" recordCount="7" xr:uid="{00000000-000A-0000-FFFF-FFFF5C000000}">
  <cacheSource type="worksheet">
    <worksheetSource ref="AII57:AIO64" sheet="All WH"/>
  </cacheSource>
  <cacheFields count="7">
    <cacheField name="Site" numFmtId="0">
      <sharedItems count="10">
        <s v="Orugodawatta DC"/>
        <s v="Orugodawatta DC Cold Room "/>
        <s v="Peliyagoda DC"/>
        <s v="Expo Global Freeport "/>
        <s v="Hirdaramani Knit Client Warehouse"/>
        <s v="Hirdaramani Woven Client Warehouse "/>
        <s v="Kandana DC"/>
        <s v="Expo Global Freeport - Mercury Plant" u="1"/>
        <s v="Cold Room Orugodawatta DC" u="1"/>
        <s v="Expo Global Freeport -  Hidramani Woven" u="1"/>
      </sharedItems>
    </cacheField>
    <cacheField name="Measurement" numFmtId="0">
      <sharedItems/>
    </cacheField>
    <cacheField name="Cargo volume Capacity " numFmtId="164">
      <sharedItems containsSemiMixedTypes="0" containsString="0" containsNumber="1" containsInteger="1" minValue="100" maxValue="21000"/>
    </cacheField>
    <cacheField name="On hand inventory" numFmtId="164">
      <sharedItems containsSemiMixedTypes="0" containsString="0" containsNumber="1" minValue="0" maxValue="8773.6718999999994"/>
    </cacheField>
    <cacheField name="Unoccupied Space" numFmtId="164">
      <sharedItems containsMixedTypes="1" containsNumber="1" minValue="63.560633300000141" maxValue="12226.328100000001"/>
    </cacheField>
    <cacheField name="For demand fluctuations + Honeycomb" numFmtId="164">
      <sharedItems containsSemiMixedTypes="0" containsString="0" containsNumber="1" minValue="3" maxValue="721.00000000000011"/>
    </cacheField>
    <cacheField name="Actual Sellable" numFmtId="164">
      <sharedItems containsMixedTypes="1" containsNumber="1" minValue="60.560633300000141" maxValue="11596.3281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hruhan Sivalogithan" refreshedDate="45128.407598611113" createdVersion="5" refreshedVersion="8" minRefreshableVersion="3" recordCount="7" xr:uid="{00000000-000A-0000-FFFF-FFFF44000000}">
  <cacheSource type="worksheet">
    <worksheetSource ref="AIJ1:AIR8" sheet="All WH"/>
  </cacheSource>
  <cacheFields count="9">
    <cacheField name="DC" numFmtId="164">
      <sharedItems count="8">
        <s v="Orugodawatta DC"/>
        <s v="Orugodawatta DC Cold Room "/>
        <s v="Peliyagoda DC"/>
        <s v="Expo Global Freeport "/>
        <s v="Hirdaramani Knit Client Warehouse"/>
        <s v="Hirdaramani Woven Client Warehouse "/>
        <s v="Kandana DC"/>
        <s v="Cold Room Orugodawatta DC" u="1"/>
      </sharedItems>
    </cacheField>
    <cacheField name="Occupancy" numFmtId="1">
      <sharedItems containsSemiMixedTypes="0" containsString="0" containsNumber="1" minValue="0" maxValue="8773.6718999999994"/>
    </cacheField>
    <cacheField name="Utilization %" numFmtId="9">
      <sharedItems containsSemiMixedTypes="0" containsString="0" containsNumber="1" minValue="0" maxValue="1" count="1959">
        <n v="0.46968139294174771"/>
        <n v="0.36439366699999859"/>
        <n v="0.60055033170731698"/>
        <n v="0.4177939"/>
        <n v="0"/>
        <n v="0.72438162790697669"/>
        <n v="1"/>
        <n v="0.68523672222222209" u="1"/>
        <n v="0.3840685589999997" u="1"/>
        <n v="0.1077678460000001" u="1"/>
        <n v="0.8541713055555552" u="1"/>
        <n v="0.75137765000000012" u="1"/>
        <n v="0.44819563809523816" u="1"/>
        <n v="0.32403370588235852" u="1"/>
        <n v="0.91677279069767448" u="1"/>
        <n v="0.17080289000000001" u="1"/>
        <n v="0.79421866111111106" u="1"/>
        <n v="0.82748870555555554" u="1"/>
        <n v="5.5115117647058266E-2" u="1"/>
        <n v="0.8013994333333333" u="1"/>
        <n v="0.64211023255813959" u="1"/>
        <n v="0.7529890731707316" u="1"/>
        <n v="0.8533964780487806" u="1"/>
        <n v="0.13997724699999967" u="1"/>
        <n v="0.86515810555555572" u="1"/>
        <n v="0.96615593071578942" u="1"/>
        <n v="0.78635775609756098" u="1"/>
        <n v="0.98889067441860468" u="1"/>
        <n v="0.84559372093023255" u="1"/>
        <n v="0.7870062634146342" u="1"/>
        <n v="0.69667418604651166" u="1"/>
        <n v="0.38815416262135927" u="1"/>
        <n v="0.4910106666666666" u="1"/>
        <n v="0.95965406666666664" u="1"/>
        <n v="0.22729198000000037" u="1"/>
        <n v="0.77889858139534884" u="1"/>
        <n v="0.67787813550526321" u="1"/>
        <n v="0.40812581054368924" u="1"/>
        <n v="0.94605270243902417" u="1"/>
        <n v="0.80596847804878058" u="1"/>
        <n v="0.2929433469999998" u="1"/>
        <n v="0.73114811627906984" u="1"/>
        <n v="0.79539414634146344" u="1"/>
        <n v="0.70920897560975604" u="1"/>
        <n v="0.83194604651162785" u="1"/>
        <n v="0.88990903157894741" u="1"/>
        <n v="0.73352214634146351" u="1"/>
        <n v="0.82007185000000005" u="1"/>
        <n v="0.14369924000000128" u="1"/>
        <n v="0.90241511578947375" u="1"/>
        <n v="0.67525527222222215" u="1"/>
        <n v="0.5356441999999999" u="1"/>
        <n v="0.80788279069767444" u="1"/>
        <n v="0.3877846699029126" u="1"/>
        <n v="0.3821841399999984" u="1"/>
        <n v="0.97663225555554689" u="1"/>
        <n v="0.48450528943589749" u="1"/>
        <n v="0.89722626666666672" u="1"/>
        <n v="0.51839462790697677" u="1"/>
        <n v="0.98249839999999999" u="1"/>
        <n v="0.87815628292682923" u="1"/>
        <n v="0.9427340333333335" u="1"/>
        <n v="0.88887395136842107" u="1"/>
        <n v="0.61179782222222223" u="1"/>
        <n v="0.99791039999999998" u="1"/>
        <n v="0.54010987777777775" u="1"/>
        <n v="7.982148E-2" u="1"/>
        <n v="9.2975697999999996E-2" u="1"/>
        <n v="0.79307921951219507" u="1"/>
        <n v="0.6778160284210526" u="1"/>
        <n v="0.78528441860465115" u="1"/>
        <n v="0.97369240000000001" u="1"/>
        <n v="0.58669927747368422" u="1"/>
        <n v="0.54919490469473686" u="1"/>
        <n v="0.75719232558139538" u="1"/>
        <n v="0.18276831199999954" u="1"/>
        <n v="0.72607160975609752" u="1"/>
        <n v="0.54099023888888886" u="1"/>
        <n v="0.66386781463414646" u="1"/>
        <n v="0.85170464444444449" u="1"/>
        <n v="0.73810927804878046" u="1"/>
        <n v="0.78545589268292682" u="1"/>
        <n v="0.85552388372093024" u="1"/>
        <n v="0.406214589223301" u="1"/>
        <n v="0.80230720975609759" u="1"/>
        <n v="0.26846906999999953" u="1"/>
        <n v="0.9746670944444441" u="1"/>
        <n v="0.39248566473786417" u="1"/>
        <n v="0.82951562222222242" u="1"/>
        <n v="0.87706581395348837" u="1"/>
        <n v="0.86340438048780466" u="1"/>
        <n v="0.94465462790697674" u="1"/>
        <n v="0.6215559902439024" u="1"/>
        <n v="0.6768296222222222" u="1"/>
        <n v="0.36808626650485438" u="1"/>
        <n v="0.96481773333333332" u="1"/>
        <n v="0.97851253333333332" u="1"/>
        <n v="0.38194168539805828" u="1"/>
        <n v="0.89498418604651153" u="1"/>
        <n v="0.38825166999999994" u="1"/>
        <n v="0.4125242704174758" u="1"/>
        <n v="0.3823188823529447" u="1"/>
        <n v="0.2252800849999981" u="1"/>
        <n v="0.85456837209302317" u="1"/>
        <n v="0.10249035294117646" u="1"/>
        <n v="0.91601573333333342" u="1"/>
        <n v="0.74068883720930234" u="1"/>
        <n v="0.8208418604651162" u="1"/>
        <n v="0.10869452" u="1"/>
        <n v="0.9615408975609756" u="1"/>
        <n v="0.97735494634146303" u="1"/>
        <n v="0.79158429268292674" u="1"/>
        <n v="0.72251969756097556" u="1"/>
        <n v="0.84625413658536586" u="1"/>
        <n v="0.89726883720930228" u="1"/>
        <n v="0.10277025999999999" u="1"/>
        <n v="0.721189736585366" u="1"/>
        <n v="0.36113749644660192" u="1"/>
        <n v="0.75604325581395349" u="1"/>
        <n v="0.86692090697674418" u="1"/>
        <n v="0.46409330555555556" u="1"/>
        <n v="0.52393107705263153" u="1"/>
        <n v="0.62307131707317076" u="1"/>
        <n v="0.79195907777777808" u="1"/>
        <n v="0.87058197222222222" u="1"/>
        <n v="0.77247784390243901" u="1"/>
        <n v="7.7357019999999999E-2" u="1"/>
        <n v="0.90444030555555521" u="1"/>
        <n v="0.81954652777777781" u="1"/>
        <n v="0.3965965655339807" u="1"/>
        <n v="0.82169534883720929" u="1"/>
        <n v="0.80005093023255813" u="1"/>
        <n v="0.69210346511627907" u="1"/>
        <n v="0.10800199999999993" u="1"/>
        <n v="0.5297185105263158" u="1"/>
        <n v="0.31685764705882891" u="1"/>
        <n v="0.39600705882352938" u="1"/>
        <n v="0.88415449873684226" u="1"/>
        <n v="0.59294524589473674" u="1"/>
        <n v="0.69295672093023264" u="1"/>
        <n v="0.72703383414634148" u="1"/>
        <n v="0.82737639444444444" u="1"/>
        <n v="0.91906723333333318" u="1"/>
        <n v="0.65144046511627907" u="1"/>
        <n v="0.25512991999999995" u="1"/>
        <n v="0.88973868333333361" u="1"/>
        <n v="0.46723389915789476" u="1"/>
        <n v="0.64353082777777793" u="1"/>
        <n v="0.83191833285263161" u="1"/>
        <n v="0.93818534883720928" u="1"/>
        <n v="0.92365069767441854" u="1"/>
        <n v="0.92628358888888884" u="1"/>
        <n v="0.86645343333333347" u="1"/>
        <n v="9.1032979999999847E-2" u="1"/>
        <n v="0.84949434146341452" u="1"/>
        <n v="0.70853488372093021" u="1"/>
        <n v="0.36813275899999987" u="1"/>
        <n v="0.72490393800000019" u="1"/>
        <n v="0.76238084444444432" u="1"/>
        <n v="0.78656854378947383" u="1"/>
        <n v="0.88796558139534887" u="1"/>
        <n v="0.96169333333333085" u="1"/>
        <n v="0.99737280000000006" u="1"/>
        <n v="0.75710576585365841" u="1"/>
        <n v="0.74493746341463407" u="1"/>
        <n v="0.86380139534883726" u="1"/>
        <n v="0.15641058000000041" u="1"/>
        <n v="0.70154407011578956" u="1"/>
        <n v="0.95113767441860464" u="1"/>
        <n v="0.66438788372093027" u="1"/>
        <n v="0.69998904651162797" u="1"/>
        <n v="0.69955356097560972" u="1"/>
        <n v="0.82427413658536586" u="1"/>
        <n v="0.12377879299999936" u="1"/>
        <n v="0.14667237899999958" u="1"/>
        <n v="0.72944623414634147" u="1"/>
        <n v="0.73996913387368424" u="1"/>
        <n v="0.17384785" u="1"/>
        <n v="0.14667237899999999" u="1"/>
        <n v="0.70407667317073175" u="1"/>
        <n v="0.36555653333009724" u="1"/>
        <n v="0.72651670588235295" u="1"/>
        <n v="0.15103505882352941" u="1"/>
        <n v="0.94400078287368405" u="1"/>
        <n v="0.14369618399999953" u="1"/>
        <n v="0.70178488372093029" u="1"/>
        <n v="0.78776904651162794" u="1"/>
        <n v="0.67941821666666669" u="1"/>
        <n v="0.8094858139534884" u="1"/>
        <n v="0.33260662299999888" u="1"/>
        <n v="0.89750093023255817" u="1"/>
        <n v="0.97461522222221419" u="1"/>
        <n v="0.76783001673684204" u="1"/>
        <n v="0.33261623529412043" u="1"/>
        <n v="0.92054952777777743" u="1"/>
        <n v="0.60077688873684221" u="1"/>
        <n v="0.93095260487804854" u="1"/>
        <n v="0.41476294999999797" u="1"/>
        <n v="0.86962096585365845" u="1"/>
        <n v="0.41476294999999824" u="1"/>
        <n v="0.52962556666666649" u="1"/>
        <n v="0.71636509302325579" u="1"/>
        <n v="0.82848743611111153" u="1"/>
        <n v="0.10039955199999995" u="1"/>
        <n v="0.18159517647058823" u="1"/>
        <n v="0.35909301439805835" u="1"/>
        <n v="0.99692658888888863" u="1"/>
        <n v="0.17079288999999986" u="1"/>
        <n v="0.17079289000000025" u="1"/>
        <n v="0.17079289000000042" u="1"/>
        <n v="0.79839277777777773" u="1"/>
        <n v="0.61472418604651158" u="1"/>
        <n v="0.96968760000000009" u="1"/>
        <n v="0.85189219999999988" u="1"/>
        <n v="0.77087065365853658" u="1"/>
        <n v="0.50017463888888869" u="1"/>
        <n v="0.16153152941176468" u="1"/>
        <n v="0.88444237777777668" u="1"/>
        <n v="0.74070252682926829" u="1"/>
        <n v="0.90821692725263159" u="1"/>
        <n v="0.71173619512195119" u="1"/>
        <n v="0.13022712000000075" u="1"/>
        <n v="0.59116641666666658" u="1"/>
        <n v="0.71085486046511637" u="1"/>
        <n v="0.16268575399999999" u="1"/>
        <n v="0.84338959601052643" u="1"/>
        <n v="0.51366437052631586" u="1"/>
        <n v="0.43908575133980565" u="1"/>
        <n v="0.51074603333333324" u="1"/>
        <n v="0.46410464444444449" u="1"/>
        <n v="0.92201127639999991" u="1"/>
        <n v="0.53618128333333337" u="1"/>
        <n v="0.96989930232558141" u="1"/>
        <n v="0.61813647243157888" u="1"/>
        <n v="0.63924887804878039" u="1"/>
        <n v="0.28176052399999973" u="1"/>
        <n v="0.52385459999999995" u="1"/>
        <n v="0.81008720930232558" u="1"/>
        <n v="0.83815053658536598" u="1"/>
        <n v="0.26890391999999802" u="1"/>
        <n v="0.12139443" u="1"/>
        <n v="0.93353534883720934" u="1"/>
        <n v="0.78306692682926826" u="1"/>
        <n v="0.94677408421052645" u="1"/>
        <n v="0.39738494383495138" u="1"/>
        <n v="0.96030966666666673" u="1"/>
        <n v="0.26411974999999804" u="1"/>
        <n v="0.67822633170731716" u="1"/>
        <n v="0.26411974999999821" u="1"/>
        <n v="0.97755819999999993" u="1"/>
        <n v="0.88001006315789465" u="1"/>
        <n v="0.3664049529999997" u="1"/>
        <n v="0.9083080555555556" u="1"/>
        <n v="7.9574139999999044E-2" u="1"/>
        <n v="0.4133521399999987" u="1"/>
        <n v="0.90922406315789472" u="1"/>
        <n v="0.34936800048543692" u="1"/>
        <n v="0.88828300000000004" u="1"/>
        <n v="0.61514069767441859" u="1"/>
        <n v="0.95133113953488369" u="1"/>
        <n v="0.98424386666666663" u="1"/>
        <n v="0.60179558139534883" u="1"/>
        <n v="0.66359528265263146" u="1"/>
        <n v="0.7230937500000002" u="1"/>
        <n v="0.28250416999999806" u="1"/>
        <n v="0.88906737566315808" u="1"/>
        <n v="0.50964278082051262" u="1"/>
        <n v="0.33249858823529727" u="1"/>
        <n v="0.95539693333333342" u="1"/>
        <n v="0.95703607586315798" u="1"/>
        <n v="0.95748139534883725" u="1"/>
        <n v="0.96117395348837209" u="1"/>
        <n v="0.15096970588235295" u="1"/>
        <n v="0.47625443885128194" u="1"/>
        <n v="0.11413250000000005" u="1"/>
        <n v="0.71147837209302323" u="1"/>
        <n v="0.17311288235294162" u="1"/>
        <n v="0.9117814666666666" u="1"/>
        <n v="0.37641400199999803" u="1"/>
        <n v="0.616504756631579" u="1"/>
        <n v="0.6771547317073171" u="1"/>
        <n v="0.92862023255813952" u="1"/>
        <n v="0.56715207810526336" u="1"/>
        <n v="0.81690116279069769" u="1"/>
        <n v="0.75994733888888921" u="1"/>
        <n v="0.54862803165263174" u="1"/>
        <n v="0.16711311764705883" u="1"/>
        <n v="0.83891101463414641" u="1"/>
        <n v="0.88116331707317064" u="1"/>
        <n v="0.880533488372093" u="1"/>
        <n v="0.83120292115789463" u="1"/>
        <n v="0.56098257777777782" u="1"/>
        <n v="0.11531106200000033" u="1"/>
        <n v="0.10076864000000021" u="1"/>
        <n v="0.84479790697674417" u="1"/>
        <n v="0.98163534883720938" u="1"/>
        <n v="0.88168008421052624" u="1"/>
        <n v="0.55771052941176469" u="1"/>
        <n v="0.64249348837209308" u="1"/>
        <n v="0.17673403000000001" u="1"/>
        <n v="0.57920874155789481" u="1"/>
        <n v="0.61786906976744183" u="1"/>
        <n v="0.81799627906976746" u="1"/>
        <n v="0.9933280000000001" u="1"/>
        <n v="0.1365133669999995" u="1"/>
        <n v="0.16524488235294116" u="1"/>
        <n v="0.59927269444444442" u="1"/>
        <n v="0.88318452682926818" u="1"/>
        <n v="0.6559775000000001" u="1"/>
        <n v="0.11272644000000012" u="1"/>
        <n v="0.70239882926829267" u="1"/>
        <n v="0.87403558139534887" u="1"/>
        <n v="0.37529137330097079" u="1"/>
        <n v="0.90606773333333335" u="1"/>
        <n v="0.36125965399029131" u="1"/>
        <n v="0.87834412631578918" u="1"/>
        <n v="0.19792388235294117" u="1"/>
        <n v="0.99600317222222234" u="1"/>
        <n v="0.11373479999999994" u="1"/>
        <n v="0.75955972747368417" u="1"/>
        <n v="0.83037069767441862" u="1"/>
        <n v="0.96531140000000004" u="1"/>
        <n v="0.52950417368421054" u="1"/>
        <n v="0.73065160975609755" u="1"/>
        <n v="0.7982644440842106" u="1"/>
        <n v="0.47017470588236987" u="1"/>
        <n v="0.8956007707317073" u="1"/>
        <n v="0.52866186111111102" u="1"/>
        <n v="0.39704189174757293" u="1"/>
        <n v="0.82356372093023256" u="1"/>
        <n v="0.71002253528421055" u="1"/>
        <n v="0.81102139534883722" u="1"/>
        <n v="0.46865256338461542" u="1"/>
        <n v="0.4945762735384614" u="1"/>
        <n v="0.1814775294117647" u="1"/>
        <n v="0.58537497222222235" u="1"/>
        <n v="0.69789902439024387" u="1"/>
        <n v="0.85555651162790702" u="1"/>
        <n v="0.60862788372093024" u="1"/>
        <n v="0.58325232315789466" u="1"/>
        <n v="0.5793307151578948" u="1"/>
        <n v="0.95039306666666667" u="1"/>
        <n v="0.87221254736842069" u="1"/>
        <n v="0.53060345555555566" u="1"/>
        <n v="0.34159682572815542" u="1"/>
        <n v="0.193262352941176" u="1"/>
        <n v="0.99585436842105279" u="1"/>
        <n v="0.10261988235294139" u="1"/>
        <n v="0.55731296666666663" u="1"/>
        <n v="0.53209332777777796" u="1"/>
        <n v="0.29553417647058922" u="1"/>
        <n v="0.39805144514563101" u="1"/>
        <n v="0.78564701463414632" u="1"/>
        <n v="0.85292993888888891" u="1"/>
        <n v="0.55639341666666653" u="1"/>
        <n v="0.95903933333333335" u="1"/>
        <n v="0.62538670555555576" u="1"/>
        <n v="0.61848608210526312" u="1"/>
        <n v="0.95993069767441863" u="1"/>
        <n v="0.38710018650485445" u="1"/>
        <n v="0.5756775444444443" u="1"/>
        <n v="0.77928096736842134" u="1"/>
        <n v="0.41954326085436894" u="1"/>
        <n v="0.76459517919999986" u="1"/>
        <n v="0.93246537768421045" u="1"/>
        <n v="0.85353206976744189" u="1"/>
        <n v="0.99580093023255822" u="1"/>
        <n v="0.5612029932631577" u="1"/>
        <n v="0.93072466666666676" u="1"/>
        <n v="0.63744008780487804" u="1"/>
        <n v="0.86087520000000006" u="1"/>
        <n v="0.94278718604651157" u="1"/>
        <n v="0.66838116097560973" u="1"/>
        <n v="0.19667541176470629" u="1"/>
        <n v="0.66532395348837214" u="1"/>
        <n v="0.9828087333333333" u="1"/>
        <n v="0.25411332999999986" u="1"/>
        <n v="0.90820773333333338" u="1"/>
        <n v="0.19410549000000074" u="1"/>
        <n v="8.1290639999998901E-2" u="1"/>
        <n v="0.87384804408421046" u="1"/>
        <n v="0.75238145365853648" u="1"/>
        <n v="8.1290639999998984E-2" u="1"/>
        <n v="8.5870999999997963E-2" u="1"/>
        <n v="8.1290639999998998E-2" u="1"/>
        <n v="0.52955097222222214" u="1"/>
        <n v="0.64650209302325579" u="1"/>
        <n v="0.64621065473684214" u="1"/>
        <n v="0.46633546111111113" u="1"/>
        <n v="0.85419930232558139" u="1"/>
        <n v="0.89188704016842113" u="1"/>
        <n v="0.52785677178947377" u="1"/>
        <n v="0.71008906341463418" u="1"/>
        <n v="0.28448611799999862" u="1"/>
        <n v="0.39924244300970874" u="1"/>
        <n v="0.88173429280000004" u="1"/>
        <n v="0.78812877073170728" u="1"/>
        <n v="0.13567812999999998" u="1"/>
        <n v="0.52508627906976746" u="1"/>
        <n v="0.82363209756097555" u="1"/>
        <n v="0.91087325581395351" u="1"/>
        <n v="0.85127604651162792" u="1"/>
        <n v="0.86391930232558145" u="1"/>
        <n v="0.55749975637894766" u="1"/>
        <n v="0.80321092222222212" u="1"/>
        <n v="0.9609637578947372" u="1"/>
        <n v="0.57566611111111099" u="1"/>
        <n v="0.9175007833333334" u="1"/>
        <n v="0.51656533888888878" u="1"/>
        <n v="0.99534826666666665" u="1"/>
        <n v="0.93532893333333333" u="1"/>
        <n v="0.18190449999999775" u="1"/>
        <n v="0.39458241176470593" u="1"/>
        <n v="0.66352325581395355" u="1"/>
        <n v="0.13064720000000066" u="1"/>
        <n v="0.90407320000000002" u="1"/>
        <n v="0.80811375609756109" u="1"/>
        <n v="0.42696153378640783" u="1"/>
        <n v="0.56480418888888884" u="1"/>
        <n v="0.48554365425263157" u="1"/>
        <n v="0.72970311219512185" u="1"/>
        <n v="0.25695011764706677" u="1"/>
        <n v="0.89240701111111098" u="1"/>
        <n v="0.60608018536585362" u="1"/>
        <n v="0.64734635121951212" u="1"/>
        <n v="0.74195150243902452" u="1"/>
        <n v="0.85864579069767444" u="1"/>
        <n v="0.15116576470588236" u="1"/>
        <n v="0.51998156030769216" u="1"/>
        <n v="0.90390925853658544" u="1"/>
        <n v="9.889973999999993E-2" u="1"/>
        <n v="0.67211602325581399" u="1"/>
        <n v="0.58021772547368433" u="1"/>
        <n v="0.63928695348837206" u="1"/>
        <n v="0.92808743333333243" u="1"/>
        <n v="0.19743352941176504" u="1"/>
        <n v="0.65623828333333334" u="1"/>
        <n v="0.18141217647058822" u="1"/>
        <n v="0.80944920000000009" u="1"/>
        <n v="0.88388798926315781" u="1"/>
        <n v="0.54678913888888891" u="1"/>
        <n v="0.45620756231578935" u="1"/>
        <n v="0.71769441860465111" u="1"/>
        <n v="0.78917053658536584" u="1"/>
        <n v="0.81090575609756099" u="1"/>
        <n v="0.84280526829268299" u="1"/>
        <n v="0.7364649756097561" u="1"/>
        <n v="0.95391144390243887" u="1"/>
        <n v="0.75648021463414628" u="1"/>
        <n v="0.79406532222222204" u="1"/>
        <n v="0.3725429499999981" u="1"/>
        <n v="0.89268589036842105" u="1"/>
        <n v="0.75628673170731719" u="1"/>
        <n v="0.67312581395348836" u="1"/>
        <n v="0.98760493333333332" u="1"/>
        <n v="0.9556452527777769" u="1"/>
        <n v="0.93260571388888824" u="1"/>
        <n v="0.21378133999999982" u="1"/>
        <n v="0.69521372093023248" u="1"/>
        <n v="0.68962047804878057" u="1"/>
        <n v="0.97379311578947358" u="1"/>
        <n v="0.21993024999999833" u="1"/>
        <n v="0.18031799300000123" u="1"/>
        <n v="0.61849981852631564" u="1"/>
        <n v="0.21933402941176761" u="1"/>
        <n v="0.27636829411764707" u="1"/>
        <n v="0.97165463055555568" u="1"/>
        <n v="0.64213708333333352" u="1"/>
        <n v="0.80255814634146339" u="1"/>
        <n v="0.16382167647058438" u="1"/>
        <n v="0.93281922777777782" u="1"/>
        <n v="0.88826488372093027" u="1"/>
        <n v="0.66970369767441862" u="1"/>
        <n v="0.29390344799999962" u="1"/>
        <n v="0.4927757111111114" u="1"/>
        <n v="0.5441159888888889" u="1"/>
        <n v="0.38712350761165065" u="1"/>
        <n v="0.15767094600000001" u="1"/>
        <n v="0.19301399999999996" u="1"/>
        <n v="0.78762466944444476" u="1"/>
        <n v="0.75071823414634131" u="1"/>
        <n v="0.94224799999999986" u="1"/>
        <n v="0.4952452088820512" u="1"/>
        <n v="0.82141464105263162" u="1"/>
        <n v="0.59774399873684214" u="1"/>
        <n v="0.10797575399999984" u="1"/>
        <n v="0.36474811764706333" u="1"/>
        <n v="0.50443297777777785" u="1"/>
        <n v="0.85923036895789495" u="1"/>
        <n v="0.99258232558139536" u="1"/>
        <n v="0.84458113888888897" u="1"/>
        <n v="0.56812937777777761" u="1"/>
        <n v="0.61932093023255808" u="1"/>
        <n v="0.74891843902439026" u="1"/>
        <n v="0.92381581395348833" u="1"/>
        <n v="0.82792531111111101" u="1"/>
        <n v="0.71464213658536591" u="1"/>
        <n v="0.79788345461052634" u="1"/>
        <n v="0.64030146341463412" u="1"/>
        <n v="0.14430018399999939" u="1"/>
        <n v="0.14430018399999953" u="1"/>
        <n v="0.86563091707317052" u="1"/>
        <n v="0.87655930232558132" u="1"/>
        <n v="0.38098686399999976" u="1"/>
        <n v="0.23159541176470588" u="1"/>
        <n v="0.62691418604651172" u="1"/>
        <n v="0.22792493500000027" u="1"/>
        <n v="0.40510539233009724" u="1"/>
        <n v="0.33732348699999876" u="1"/>
        <n v="0.27991023529411763" u="1"/>
        <n v="0.90957348837209306" u="1"/>
        <n v="0.40417792475728154" u="1"/>
        <n v="0.13312811764705881" u="1"/>
        <n v="0.1870673823529399" u="1"/>
        <n v="0.79463393023255813" u="1"/>
        <n v="0.64111270588239655" u="1"/>
        <n v="0.64207790329473702" u="1"/>
        <n v="0.74027322869473688" u="1"/>
        <n v="0.26967367499999839" u="1"/>
        <n v="0.30154387000000005" u="1"/>
        <n v="0.8880982666666668" u="1"/>
        <n v="0.81218432777777771" u="1"/>
        <n v="0.38234664871844665" u="1"/>
        <n v="0.82351316097560967" u="1"/>
        <n v="0.18002588235293948" u="1"/>
        <n v="0.90317769661052638" u="1"/>
        <n v="0.96022095555555564" u="1"/>
        <n v="0.65152209302325581" u="1"/>
        <n v="0.48887909990769229" u="1"/>
        <n v="0.69431834883720933" u="1"/>
        <n v="0.89444125853658518" u="1"/>
        <n v="0.83576881395348834" u="1"/>
        <n v="0.59884005882356228" u="1"/>
        <n v="0.88651256111111154" u="1"/>
        <n v="0.2142013399999998" u="1"/>
        <n v="0.50999811666666672" u="1"/>
        <n v="0.29882061699999984" u="1"/>
        <n v="0.86299892682926826" u="1"/>
        <n v="0.23289613199999995" u="1"/>
        <n v="0.95921560000000006" u="1"/>
        <n v="0.94684119999999994" u="1"/>
        <n v="0.54133308634871791" u="1"/>
        <n v="0.22251199999999691" u="1"/>
        <n v="0.81383744186046514" u="1"/>
        <n v="0.88396790697674421" u="1"/>
        <n v="0.98640799866315787" u="1"/>
        <n v="0.83518478888888892" u="1"/>
        <n v="0.1459798469999993" u="1"/>
        <n v="0.916449511627907" u="1"/>
        <n v="0.86896077777777792" u="1"/>
        <n v="0.93362674418604652" u="1"/>
        <n v="0.94670899512195128" u="1"/>
        <n v="0.71815800000007091" u="1"/>
        <n v="0.50443187222222197" u="1"/>
        <n v="0.83952860000000018" u="1"/>
        <n v="0.94530346666666665" u="1"/>
        <n v="0.71312808780487791" u="1"/>
        <n v="0.11534554100000025" u="1"/>
        <n v="8.6211639999999451E-2" u="1"/>
        <n v="0.38259625999999991" u="1"/>
        <n v="0.83639810000000014" u="1"/>
        <n v="0.71924023255813962" u="1"/>
        <n v="0.65171941463414629" u="1"/>
        <n v="0.61336546341463416" u="1"/>
        <n v="0.61055508888888887" u="1"/>
        <n v="0.96485160465116271" u="1"/>
        <n v="0.68906672093023258" u="1"/>
        <n v="0.81923128888888908" u="1"/>
        <n v="0.86904674418604644" u="1"/>
        <n v="0.98299820000000004" u="1"/>
        <n v="0.74994600000008249" u="1"/>
        <n v="0.96398160465116278" u="1"/>
        <n v="0.50938775620512822" u="1"/>
        <n v="0.11859935294117294" u="1"/>
        <n v="0.11859935294117301" u="1"/>
        <n v="0.17549185" u="1"/>
        <n v="0.11859935294117314" u="1"/>
        <n v="0.18513091099999934" u="1"/>
        <n v="0.83020834883720929" u="1"/>
        <n v="0.85295221111111141" u="1"/>
        <n v="0.96347078333333291" u="1"/>
        <n v="0.74290023255813953" u="1"/>
        <n v="0.29289476999999986" u="1"/>
        <n v="0.51556416694736851" u="1"/>
        <n v="0.57837686787368403" u="1"/>
        <n v="0.63737184526315782" u="1"/>
        <n v="0.729466023255814" u="1"/>
        <n v="0.27528348699999888" u="1"/>
        <n v="0.52039581111111122" u="1"/>
        <n v="0.79508702439024392" u="1"/>
        <n v="0.33339584514563109" u="1"/>
        <n v="0.53120682352941173" u="1"/>
        <n v="0.13190929411764296" u="1"/>
        <n v="0.1974581764705883" u="1"/>
        <n v="0.99538208333332678" u="1"/>
        <n v="0.80277695684210548" u="1"/>
        <n v="0.41086265126213589" u="1"/>
        <n v="0.8657198581052632" u="1"/>
        <n v="0.94785133333333338" u="1"/>
        <n v="0.14849410000000002" u="1"/>
        <n v="0.22013024999999828" u="1"/>
        <n v="0.84430870000000025" u="1"/>
        <n v="0.22013024999999836" u="1"/>
        <n v="0.76038955121951235" u="1"/>
        <n v="0.80902953488372098" u="1"/>
        <n v="0.86070730731707301" u="1"/>
        <n v="0.55478432222222218" u="1"/>
        <n v="8.5975588235292083E-2" u="1"/>
        <n v="0.42260621321025627" u="1"/>
        <n v="0.55363339444444459" u="1"/>
        <n v="0.63854462790697675" u="1"/>
        <n v="0.40736817310679613" u="1"/>
        <n v="0.96147893333333334" u="1"/>
        <n v="0.86093795000000006" u="1"/>
        <n v="0.16375382352940773" u="1"/>
        <n v="0.85180487804878047" u="1"/>
        <n v="0.57232529444444435" u="1"/>
        <n v="0.78020174634146333" u="1"/>
        <n v="0.52244666111111104" u="1"/>
        <n v="0.99602959999999996" u="1"/>
        <n v="0.91615372777777782" u="1"/>
        <n v="0.96233679999999999" u="1"/>
        <n v="0.95182720930232556" u="1"/>
        <n v="9.6695719999999999E-2" u="1"/>
        <n v="9.1812979999999836E-2" u="1"/>
        <n v="0.55092660555555539" u="1"/>
        <n v="0.99543159999999997" u="1"/>
        <n v="0.54217299444444433" u="1"/>
        <n v="0.64567765116279074" u="1"/>
        <n v="0.97402537634736863" u="1"/>
        <n v="0.89297919999999997" u="1"/>
        <n v="0.85050697674418596" u="1"/>
        <n v="0.78406906976744184" u="1"/>
        <n v="0.94356519999999999" u="1"/>
        <n v="0.79937511111111093" u="1"/>
        <n v="0.20343414800000079" u="1"/>
        <n v="8.3596890999999257E-2" u="1"/>
        <n v="0.524095561111111" u="1"/>
        <n v="0.95592976744186042" u="1"/>
        <n v="0.90591790697674424" u="1"/>
        <n v="0.94116959999999983" u="1"/>
        <n v="0.95878666666666124" u="1"/>
        <n v="0.79083390555555533" u="1"/>
        <n v="0.84096806210526309" u="1"/>
        <n v="0.62244263999999982" u="1"/>
        <n v="0.92289393023255817" u="1"/>
        <n v="0.94720260000000001" u="1"/>
        <n v="0.77551108888888887" u="1"/>
        <n v="0.88486750526315783" u="1"/>
        <n v="0.87314537777777779" u="1"/>
        <n v="0.75772708333333338" u="1"/>
        <n v="0.22816186599999824" u="1"/>
        <n v="0.28957855699999863" u="1"/>
        <n v="0.96689219512195113" u="1"/>
        <n v="0.74969764705890707" u="1"/>
        <n v="0.76903023255813951" u="1"/>
        <n v="0.53573539444444451" u="1"/>
        <n v="0.82860106473684214" u="1"/>
        <n v="0.67742893333333332" u="1"/>
        <n v="0.59139862439024382" u="1"/>
        <n v="0.22736921200000026" u="1"/>
        <n v="0.33234509456310685" u="1"/>
        <n v="0.56722620652631572" u="1"/>
        <n v="0.97284999999999999" u="1"/>
        <n v="0.29877886999999986" u="1"/>
        <n v="0.93084678333333348" u="1"/>
        <n v="0.72354111764712814" u="1"/>
        <n v="0.38691435294117649" u="1"/>
        <n v="0.77878035294126724" u="1"/>
        <n v="0.76761892682926824" u="1"/>
        <n v="0.13171582352941216" u="1"/>
        <n v="0.20054017999999962" u="1"/>
        <n v="0.98160346666666665" u="1"/>
        <n v="0.20054017999999968" u="1"/>
        <n v="0.28070486000000011" u="1"/>
        <n v="0.68368548333333334" u="1"/>
        <n v="0.97720653333333329" u="1"/>
        <n v="0.87876330555555571" u="1"/>
        <n v="0.89355506666666651" u="1"/>
        <n v="0.95803360555555461" u="1"/>
        <n v="0.86688617777777788" u="1"/>
        <n v="0.90669079999999991" u="1"/>
        <n v="0.45992942547368426" u="1"/>
        <n v="0.75376175609756102" u="1"/>
        <n v="0.57428973010526319" u="1"/>
        <n v="0.50343024325263164" u="1"/>
        <n v="0.90947597894736842" u="1"/>
        <n v="0.58729167222222234" u="1"/>
        <n v="0.82752557894736822" u="1"/>
        <n v="0.88619906976744189" u="1"/>
        <n v="0.42022906912621355" u="1"/>
        <n v="0.9918950439024391" u="1"/>
        <n v="0.70866788235300848" u="1"/>
        <n v="0.71355369767441867" u="1"/>
        <n v="0.97295744186046507" u="1"/>
        <n v="0.48846523251282037" u="1"/>
        <n v="0.40834660692232999" u="1"/>
        <n v="0.96043773333333338" u="1"/>
        <n v="0.88357108333333223" u="1"/>
        <n v="0.82124526829268307" u="1"/>
        <n v="0.93402702222222167" u="1"/>
        <n v="0.83885144999999972" u="1"/>
        <n v="0.38597800728155335" u="1"/>
        <n v="0.7737664827368419" u="1"/>
        <n v="0.96095235915789434" u="1"/>
        <n v="0.84734906976744184" u="1"/>
        <n v="0.89263579512195124" u="1"/>
        <n v="0.42279603747572825" u="1"/>
        <n v="0.51987997222222215" u="1"/>
        <n v="0.97501720930232549" u="1"/>
        <n v="0.82283262500000021" u="1"/>
        <n v="0.65394991111111123" u="1"/>
        <n v="0.85701229444444438" u="1"/>
        <n v="0.82860818536585357" u="1"/>
        <n v="0.97409224444444431" u="1"/>
        <n v="0.29275401399999984" u="1"/>
        <n v="0.99344627906976757" u="1"/>
        <n v="0.68560807222222231" u="1"/>
        <n v="0.94877213333333321" u="1"/>
        <n v="0.68494164878048791" u="1"/>
        <n v="0.55776751273684211" u="1"/>
        <n v="0.88156911442105257" u="1"/>
        <n v="0.67095325853658527" u="1"/>
        <n v="0.6035722829268293" u="1"/>
        <n v="0.65062887777777789" u="1"/>
        <n v="0.16406185294117212" u="1"/>
        <n v="0.83182811627906983" u="1"/>
        <n v="0.74588847804878033" u="1"/>
        <n v="0.7690454634146342" u="1"/>
        <n v="0.68103411764711785" u="1"/>
        <n v="0.57704463629473679" u="1"/>
        <n v="0.84343480000000026" u="1"/>
        <n v="0.38437561601941744" u="1"/>
        <n v="0.89870454444444448" u="1"/>
        <n v="0.99537266666666668" u="1"/>
        <n v="0.86106399999999994" u="1"/>
        <n v="0.725725951219512" u="1"/>
        <n v="0.8206053555555558" u="1"/>
        <n v="0.9427558139534884" u="1"/>
        <n v="0.52753239444444444" u="1"/>
        <n v="0.81889767222222243" u="1"/>
        <n v="0.79179882926829293" u="1"/>
        <n v="0.99469279069767447" u="1"/>
        <n v="0.71133790697674426" u="1"/>
        <n v="0.97488386666666649" u="1"/>
        <n v="0.39703522843689315" u="1"/>
        <n v="0.56892312846315785" u="1"/>
        <n v="0.78489741860465112" u="1"/>
        <n v="0.70330770731707326" u="1"/>
        <n v="9.246183899999999E-2" u="1"/>
        <n v="0.50288600851282039" u="1"/>
        <n v="0.56002272222222205" u="1"/>
        <n v="0.75898253488372092" u="1"/>
        <n v="0.80828697674418604" u="1"/>
        <n v="8.844241500000001E-2" u="1"/>
        <n v="0.9023218315789473" u="1"/>
        <n v="0.79545255813953486" u="1"/>
        <n v="0.66317767441860465" u="1"/>
        <n v="0.93451587222222221" u="1"/>
        <n v="0.67417116279069766" u="1"/>
        <n v="0.69945767441860462" u="1"/>
        <n v="0.39553695624271845" u="1"/>
        <n v="0.29866250699999874" u="1"/>
        <n v="0.86059228292682932" u="1"/>
        <n v="0.54367480392820522" u="1"/>
        <n v="0.76211906976744193" u="1"/>
        <n v="0.41756823339805832" u="1"/>
        <n v="0.68893756097560976" u="1"/>
        <n v="0.53459860877894738" u="1"/>
        <n v="0.89164130000000008" u="1"/>
        <n v="0.53942610000000013" u="1"/>
        <n v="0.85050929444444456" u="1"/>
        <n v="0.97091086666666671" u="1"/>
        <n v="0.68859463414634137" u="1"/>
        <n v="0.82644720930232562" u="1"/>
        <n v="0.55276041666666664" u="1"/>
        <n v="0.82122647368421042" u="1"/>
        <n v="0.91362714966315783" u="1"/>
        <n v="0.4903764614736843" u="1"/>
        <n v="0.42292238756923073" u="1"/>
        <n v="0.56396502777777757" u="1"/>
        <n v="0.83689366315789471" u="1"/>
        <n v="0.53991050555555564" u="1"/>
        <n v="0.25881223529412645" u="1"/>
        <n v="0.97958466666666666" u="1"/>
        <n v="0.85202497560975621" u="1"/>
        <n v="0.95651013333333335" u="1"/>
        <n v="0.71576916097560972" u="1"/>
        <n v="0.45489499999999999" u="1"/>
        <n v="0.8477068166666667" u="1"/>
        <n v="0.41335861281553399" u="1"/>
        <n v="0.89747648837209304" u="1"/>
        <n v="0.92443465116279067" u="1"/>
        <n v="0.89635930232558136" u="1"/>
        <n v="0.62033279069767444" u="1"/>
        <n v="0.17286476470588233" u="1"/>
        <n v="0.54835688235296698" u="1"/>
        <n v="0.87483148970526314" u="1"/>
        <n v="0.32955243799999884" u="1"/>
        <n v="0.42143532155339813" u="1"/>
        <n v="0.72429199024390234" u="1"/>
        <n v="0.25421173529412544" u="1"/>
        <n v="0.89733979512195128" u="1"/>
        <n v="0.44267657142857136" u="1"/>
        <n v="0.15524494899999999" u="1"/>
        <n v="0.85337771705263166" u="1"/>
        <n v="0.78169443902439006" u="1"/>
        <n v="0.19919664999999981" u="1"/>
        <n v="0.37755577587378647" u="1"/>
        <n v="0.51854141176470592" u="1"/>
        <n v="0.87054044186046509" u="1"/>
        <n v="0.19896067000000067" u="1"/>
        <n v="0.66173160465116287" u="1"/>
        <n v="0.9646013961368417" u="1"/>
        <n v="0.66480866666666683" u="1"/>
        <n v="0.79233441860465115" u="1"/>
        <n v="0.90483797073170713" u="1"/>
        <n v="0.99212819512195127" u="1"/>
        <n v="0.2628503099999982" u="1"/>
        <n v="0.30591117000000007" u="1"/>
        <n v="0.76246860465116273" u="1"/>
        <n v="0.84240858139534891" u="1"/>
        <n v="0.8071213953488372" u="1"/>
        <n v="0.82730994146341452" u="1"/>
        <n v="0.98507359999999999" u="1"/>
        <n v="0.8327" u="1"/>
        <n v="9.9362640000000071E-2" u="1"/>
        <n v="0.9280828277777774" u="1"/>
        <n v="0.53846919073684218" u="1"/>
        <n v="0.79565093023255817" u="1"/>
        <n v="0.1924274100000001" u="1"/>
        <n v="0.68193953488372094" u="1"/>
        <n v="0.1302127058823534" u="1"/>
        <n v="0.86675232558139537" u="1"/>
        <n v="0.7194649939894735" u="1"/>
        <n v="0.94137186046511623" u="1"/>
        <n v="0.96235293333333349" u="1"/>
        <n v="0.76510799024390252" u="1"/>
        <n v="0.92436050061052621" u="1"/>
        <n v="0.89150267222222213" u="1"/>
        <n v="0.29726628999999866" u="1"/>
        <n v="0.17804678200000001" u="1"/>
        <n v="0.17888428200000001" u="1"/>
        <n v="0.5287302792820513" u="1"/>
        <n v="0.51631729999999998" u="1"/>
        <n v="0.84932300000000005" u="1"/>
        <n v="0.58150954421052625" u="1"/>
        <n v="0.58380514652631577" u="1"/>
        <n v="0.93977026666666663" u="1"/>
        <n v="8.6040941176468599E-2" u="1"/>
        <n v="8.5687999999997932E-2" u="1"/>
        <n v="0.37359154999999972" u="1"/>
        <n v="8.5687999999997946E-2" u="1"/>
        <n v="0.37359154999999977" u="1"/>
        <n v="0.37359154999999988" u="1"/>
        <n v="0.80899627906976745" u="1"/>
        <n v="0.85346234444444447" u="1"/>
        <n v="0.37900907592233007" u="1"/>
        <n v="0.45908214126315788" u="1"/>
        <n v="0.92919346666666669" u="1"/>
        <n v="0.53099220000000014" u="1"/>
        <n v="0.41155105902912625" u="1"/>
        <n v="0.91358883720930228" u="1"/>
        <n v="0.99075306666666674" u="1"/>
        <n v="0.68862459512195118" u="1"/>
        <n v="2.376E-2" u="1"/>
        <n v="0.54447886268717938" u="1"/>
        <n v="0.4798026141052632" u="1"/>
        <n v="0.76807219512195124" u="1"/>
        <n v="0.84641258536585362" u="1"/>
        <n v="0.42709296543689323" u="1"/>
        <n v="0.15746932352940698" u="1"/>
        <n v="0.87797873170731722" u="1"/>
        <n v="0.155670215" u="1"/>
        <n v="0.8584082328421051" u="1"/>
        <n v="0.51511431666666674" u="1"/>
        <n v="0.97674408780487798" u="1"/>
        <n v="0.75539091707317063" u="1"/>
        <n v="0.47647046511627905" u="1"/>
        <n v="0.79351037737894725" u="1"/>
        <n v="0.92213000000000001" u="1"/>
        <n v="0.66520069767441858" u="1"/>
        <n v="0.89879971578947382" u="1"/>
        <n v="0.9087188139534883" u="1"/>
        <n v="0.84544580000000014" u="1"/>
        <n v="0.5667969111111113" u="1"/>
        <n v="0.51788741263157878" u="1"/>
        <n v="0.63458246631578952" u="1"/>
        <n v="0.96741647174736867" u="1"/>
        <n v="0.77174838048780492" u="1"/>
        <n v="0.94392413333333325" u="1"/>
        <n v="0.25849852941177337" u="1"/>
        <n v="0.9895288000000001" u="1"/>
        <n v="0.96628479444444448" u="1"/>
        <n v="0.79901932777777795" u="1"/>
        <n v="0.45877315178947364" u="1"/>
        <n v="0.92365923902439007" u="1"/>
        <n v="0.69169486046511619" u="1"/>
        <n v="0.8707580390243902" u="1"/>
        <n v="0.62109413658536583" u="1"/>
        <n v="0.95191626666666673" u="1"/>
        <n v="0.40907026415533976" u="1"/>
        <n v="0.79812720930232561" u="1"/>
        <n v="0.91429116279069778" u="1"/>
        <n v="0.29758306999999962" u="1"/>
        <n v="0.14085247058823558" u="1"/>
        <n v="0.15797069999999991" u="1"/>
        <n v="0.73354882352941175" u="1"/>
        <n v="0.21808278500000008" u="1"/>
        <n v="0.35768869900970884" u="1"/>
        <n v="0.9284879777777777" u="1"/>
        <n v="0.9521611000000002" u="1"/>
        <n v="0.55054362222222208" u="1"/>
        <n v="0.8133292709473684" u="1"/>
        <n v="0.78859913333333331" u="1"/>
        <n v="0.16180891000000083" u="1"/>
        <n v="0.90412142222222258" u="1"/>
        <n v="0.52896163888888903" u="1"/>
        <n v="0.87545790697674419" u="1"/>
        <n v="0.97659017003157911" u="1"/>
        <n v="0.89807550243902456" u="1"/>
        <n v="0.82833581395348843" u="1"/>
        <n v="0.99623428333333319" u="1"/>
        <n v="0.52914530000000015" u="1"/>
        <n v="0.1962479999999982" u="1"/>
        <n v="0.11413231199999946" u="1"/>
        <n v="0.1141323119999995" u="1"/>
        <n v="0.14640768000000043" u="1"/>
        <n v="0.11413231199999954" u="1"/>
        <n v="0.11825952941176135" u="1"/>
        <n v="0.46677648333333321" u="1"/>
        <n v="0.66550380487804872" u="1"/>
        <n v="0.69527697560975599" u="1"/>
        <n v="0.66353579069767443" u="1"/>
        <n v="0.19624800000000001" u="1"/>
        <n v="0.67246974418604655" u="1"/>
        <n v="0.64982581395348837" u="1"/>
        <n v="0.14788426470587715" u="1"/>
        <n v="0.96297397073170754" u="1"/>
        <n v="0.97692599999999996" u="1"/>
        <n v="0.78843414634146336" u="1"/>
        <n v="0.76136000000000004" u="1"/>
        <n v="0.37366284599999849" u="1"/>
        <n v="0.38581525999999805" u="1"/>
        <n v="0.5621926055555555" u="1"/>
        <n v="0.59339372093023257" u="1"/>
        <n v="0.94269057655789468" u="1"/>
        <n v="0.40197757106796123" u="1"/>
        <n v="0.25415944117647843" u="1"/>
        <n v="0.7420274418604651" u="1"/>
        <n v="0.18509226470588053" u="1"/>
        <n v="0.93135487039999998" u="1"/>
        <n v="0.27998906999999978" u="1"/>
        <n v="0.95074934444444426" u="1"/>
        <n v="0.5640095444444444" u="1"/>
        <n v="0.18643138000000126" u="1"/>
        <n v="0.83704871736842101" u="1"/>
        <n v="0.98980572222222063" u="1"/>
        <n v="0.11832488235293773" u="1"/>
        <n v="0.52225814444444441" u="1"/>
        <n v="0.99317116279069773" u="1"/>
        <n v="0.77863325581395348" u="1"/>
        <n v="0.21806700000000001" u="1"/>
        <n v="0.70274400000000004" u="1"/>
        <n v="0.14946778199999999" u="1"/>
        <n v="0.96986926111110938" u="1"/>
        <n v="0.83893812777777776" u="1"/>
        <n v="0.94018353170731683" u="1"/>
        <n v="0.44181028273684203" u="1"/>
        <n v="0.4891311888888889" u="1"/>
        <n v="0.79314435294117647" u="1"/>
        <n v="0.9616538" u="1"/>
        <n v="0.82173720930232552" u="1"/>
        <n v="0.14209522699999952" u="1"/>
        <n v="0.8501437361111106" u="1"/>
        <n v="0.52826397777777756" u="1"/>
        <n v="0.85660906976744178" u="1"/>
        <n v="0.46736852646153848" u="1"/>
        <n v="0.41122001048543688" u="1"/>
        <n v="0.98525369767441862" u="1"/>
        <n v="0.962081362410526" u="1"/>
        <n v="0.54654573333333345" u="1"/>
        <n v="0.2133166499999998" u="1"/>
        <n v="0.71462975609756096" u="1"/>
        <n v="0.90317132222222218" u="1"/>
        <n v="0.40593921999999993" u="1"/>
        <n v="0.86646305000000001" u="1"/>
        <n v="0.86387651162790691" u="1"/>
        <n v="0.34127100000000204" u="1"/>
        <n v="0.25010818999999995" u="1"/>
        <n v="0.9944354666666666" u="1"/>
        <n v="0.90059999999999996" u="1"/>
        <n v="0.89734653333333336" u="1"/>
        <n v="0.48343625901052617" u="1"/>
        <n v="0.82678695010526304" u="1"/>
        <n v="9.1217079999999728E-2" u="1"/>
        <n v="9.1217079999999798E-2" u="1"/>
        <n v="0.71869043902439023" u="1"/>
        <n v="0.10778276470588263" u="1"/>
        <n v="0.29539403899999978" u="1"/>
        <n v="0.77241356097560976" u="1"/>
        <n v="0.23977417647059415" u="1"/>
        <n v="0.85520653658536583" u="1"/>
        <n v="0.3448412941176473" u="1"/>
        <n v="0.73453666092631575" u="1"/>
        <n v="0.9577411684210525" u="1"/>
        <n v="0.38907763446601945" u="1"/>
        <n v="0.98082359999999991" u="1"/>
        <n v="0.72121999999999997" u="1"/>
        <n v="0.89314790697674418" u="1"/>
        <n v="0.62746945365853668" u="1"/>
        <n v="0.8281697441860465" u="1"/>
        <n v="0.91243248821052625" u="1"/>
        <n v="0.53688892777777775" u="1"/>
        <n v="0.25537974999999813" u="1"/>
        <n v="0.75551395348837214" u="1"/>
        <n v="0.91906906976744185" u="1"/>
        <n v="0.66347903888888893" u="1"/>
        <n v="0.22796674699999811" u="1"/>
        <n v="0.66502953488372096" u="1"/>
        <n v="0.94064627906976739" u="1"/>
        <n v="0.51542318333333348" u="1"/>
        <n v="0.74512156097560955" u="1"/>
        <n v="0.24547941176470589" u="1"/>
        <n v="0.39005674582524275" u="1"/>
        <n v="0.43072016694736831" u="1"/>
        <n v="0.418179687961165" u="1"/>
        <n v="0.59886535609756097" u="1"/>
        <n v="0.82147657894736836" u="1"/>
        <n v="0.12258282199999999" u="1"/>
        <n v="0.55132116111111096" u="1"/>
        <n v="0.64321206976744194" u="1"/>
        <n v="0.74518252682926822" u="1"/>
        <n v="0.20281918199999965" u="1"/>
        <n v="0.67004338589473666" u="1"/>
        <n v="0.76434720930232558" u="1"/>
        <n v="0.62095423414634143" u="1"/>
        <n v="0.89482153055555524" u="1"/>
        <n v="0.27801594799999835" u="1"/>
        <n v="0.84979209302325587" u="1"/>
        <n v="0.34238169299999976" u="1"/>
        <n v="9.0177659999999105E-2" u="1"/>
        <n v="9.017765999999916E-2" u="1"/>
        <n v="0.51676556666666673" u="1"/>
        <n v="0.61061485052631581" u="1"/>
        <n v="0.24116320588235823" u="1"/>
        <n v="0.6426590034736841" u="1"/>
        <n v="0.72815308292682912" u="1"/>
        <n v="0.96452366111111076" u="1"/>
        <n v="0.81631840555555568" u="1"/>
        <n v="0.89042066666666664" u="1"/>
        <n v="0.8300560465116279" u="1"/>
        <n v="0.86830593888888885" u="1"/>
        <n v="0.14342412699999951" u="1"/>
        <n v="0.61949638048780498" u="1"/>
        <n v="0.7894027512195122" u="1"/>
        <n v="0.22646288235294096" u="1"/>
        <n v="0.58565654999999994" u="1"/>
        <n v="0.34469424990291253" u="1"/>
        <n v="0.19492827400000004" u="1"/>
        <n v="0.97289803888888893" u="1"/>
        <n v="0.73010839024390251" u="1"/>
        <n v="0.75094139534883719" u="1"/>
        <n v="0.5157788166666667" u="1"/>
        <n v="0.68018255813953488" u="1"/>
        <n v="0.37346866347572827" u="1"/>
        <n v="0.14397782352941177" u="1"/>
        <n v="0.63733093023255816" u="1"/>
        <n v="0.51962813648205119" u="1"/>
        <n v="0.82052487368421057" u="1"/>
        <n v="0.93112546666666662" u="1"/>
        <n v="0.90233175833333268" u="1"/>
        <n v="0.66738300000000006" u="1"/>
        <n v="0.67109746182105268" u="1"/>
        <n v="0.72578953488372089" u="1"/>
        <n v="0.51245925000000003" u="1"/>
        <n v="0.7881083720930232" u="1"/>
        <n v="0.89641023255813945" u="1"/>
        <n v="0.61549174158947373" u="1"/>
        <n v="0.44665143249230777" u="1"/>
        <n v="0.18122964705882352" u="1"/>
        <n v="0.5521951162790697" u="1"/>
        <n v="0.25429014705883146" u="1"/>
        <n v="0.75315472195121957" u="1"/>
        <n v="0.33000881395348836" u="1"/>
        <n v="0.68436429411770316" u="1"/>
        <n v="0.90081788333333357" u="1"/>
        <n v="0.54759552777777776" u="1"/>
        <n v="0.54206917999999993" u="1"/>
        <n v="0.97745023255813956" u="1"/>
        <n v="0.42153429796116515" u="1"/>
        <n v="0.78938837209302326" u="1"/>
        <n v="0.52449926174358985" u="1"/>
        <n v="0.70615063414634138" u="1"/>
        <n v="0.11660118600000023" u="1"/>
        <n v="0.88030228333333316" u="1"/>
        <n v="0.8381489333333334" u="1"/>
        <n v="0.86040533611111047" u="1"/>
        <n v="0.99222046511627904" u="1"/>
        <n v="0.29650181499999995" u="1"/>
        <n v="0.48364934999999998" u="1"/>
        <n v="0.89627604651162796" u="1"/>
        <n v="0.24565461764706437" u="1"/>
        <n v="0.52832003888888901" u="1"/>
        <n v="0.39877496805825263" u="1"/>
        <n v="0.83867116279069764" u="1"/>
        <n v="0.60615569756097576" u="1"/>
        <n v="0.45352386666666655" u="1"/>
        <n v="0.77759250256842116" u="1"/>
        <n v="0.57972523529414699" u="1"/>
        <n v="0.51645599999999992" u="1"/>
        <n v="0.25714679999999818" u="1"/>
        <n v="0.93790465116279065" u="1"/>
        <n v="0.32156670588236219" u="1"/>
        <n v="0.76646388888888883" u="1"/>
        <n v="0.25487670588235295" u="1"/>
        <n v="0.85454292682926813" u="1"/>
        <n v="0.93706480000000003" u="1"/>
        <n v="0.29715848699999869" u="1"/>
        <n v="0.31361676470588795" u="1"/>
        <n v="0.17944670588235073" u="1"/>
        <n v="0.8992343953488372" u="1"/>
        <n v="0.47790697674418603" u="1"/>
        <n v="0.94343626666666669" u="1"/>
        <n v="0.10170663999999972" u="1"/>
        <n v="0.10170663999999974" u="1"/>
        <n v="0.73828699063157888" u="1"/>
        <n v="0.90377427368421059" u="1"/>
        <n v="0.63795658536585353" u="1"/>
        <n v="0.40067120886407775" u="1"/>
        <n v="0.6351853343157895" u="1"/>
        <n v="0.99018439999999996" u="1"/>
        <n v="0.25190751399999983" u="1"/>
        <n v="0.7913628292682926" u="1"/>
        <n v="0.36850396544660202" u="1"/>
        <n v="0.98778806666666663" u="1"/>
        <n v="0.10716012" u="1"/>
        <n v="0.50707717647058825" u="1"/>
        <n v="0.74932290094736831" u="1"/>
        <n v="0.7627279069767442" u="1"/>
        <n v="0.7218049658536585" u="1"/>
        <n v="0.74872745555555598" u="1"/>
        <n v="0.26490779199999825" u="1"/>
        <n v="0.81449922777777817" u="1"/>
        <n v="0.56530379999999991" u="1"/>
        <n v="0.27580778999999978" u="1"/>
        <n v="0.84611786666666655" u="1"/>
        <n v="0.61310406786315796" u="1"/>
        <n v="0.52394416430769242" u="1"/>
        <n v="0.96615396097560979" u="1"/>
        <n v="0.62141911219512191" u="1"/>
        <n v="0.81458136585365848" u="1"/>
        <n v="0.14757055882352413" u="1"/>
        <n v="0.67742629411770283" u="1"/>
        <n v="0.73010697674418601" u="1"/>
        <n v="0.11178305400000005" u="1"/>
        <n v="0.84756139534883723" u="1"/>
        <n v="0.91688600555555544" u="1"/>
        <n v="0.89110769145263147" u="1"/>
        <n v="0.13010234000000084" u="1"/>
        <n v="0.47834940555555555" u="1"/>
        <n v="0.2815897159999986" u="1"/>
        <n v="0.9133037209302326" u="1"/>
        <n v="0.705017356097561" u="1"/>
        <n v="0.85815244444444438" u="1"/>
        <n v="0.82418491707317088" u="1"/>
        <n v="0.37820700728155338" u="1"/>
        <n v="8.380862E-2" u="1"/>
        <n v="0.19798100000000041" u="1"/>
        <n v="0.61524681951219518" u="1"/>
        <n v="0.56338551111111124" u="1"/>
        <n v="0.9192754666666666" u="1"/>
        <n v="0.71891186046511624" u="1"/>
        <n v="0.1738924" u="1"/>
        <n v="0.76868448780487808" u="1"/>
        <n v="0.81364999999999998" u="1"/>
        <n v="0.87336302439024383" u="1"/>
        <n v="0.51510505774358972" u="1"/>
        <n v="7.0813235294116428E-2" u="1"/>
        <n v="0.83534086829268306" u="1"/>
        <n v="0.66164953488372091" u="1"/>
        <n v="0.26269505882352939" u="1"/>
        <n v="0.86346132222222205" u="1"/>
        <n v="0.88506262357894727" u="1"/>
        <n v="0.18873604500000085" u="1"/>
        <n v="0.94662613333333334" u="1"/>
        <n v="0.76820723529411761" u="1"/>
        <n v="0.81397689473684198" u="1"/>
        <n v="0.98290183720930224" u="1"/>
        <n v="0.77949697674418605" u="1"/>
        <n v="0.90061023255813943" u="1"/>
        <n v="0.27247614699999823" u="1"/>
        <n v="0.33580969799999894" u="1"/>
        <n v="0.9660797333333333" u="1"/>
        <n v="0.56955929411767692" u="1"/>
        <n v="0.91777741860465112" u="1"/>
        <n v="0.5232836669473685" u="1"/>
        <n v="0.99537486666666664" u="1"/>
        <n v="0.10742262" u="1"/>
        <n v="0.54699565113846138" u="1"/>
        <n v="0.84979501463414631" u="1"/>
        <n v="0.70128090697674417" u="1"/>
        <n v="0.39035637749514562" u="1"/>
        <n v="0.89182746574736838" u="1"/>
        <n v="0.69305369999999999" u="1"/>
        <n v="0.64119488372093025" u="1"/>
        <n v="0.95303760000000004" u="1"/>
        <n v="0.26122180999999833" u="1"/>
        <n v="0.44921089456410251" u="1"/>
        <n v="0.50599481111111111" u="1"/>
        <n v="0.60181770905263132" u="1"/>
        <n v="0.53726436666666677" u="1"/>
        <n v="0.46072151111111109" u="1"/>
        <n v="0.95211253333333334" u="1"/>
        <n v="0.6995515474736842" u="1"/>
        <n v="0.66315247804878052" u="1"/>
        <n v="0.54071531666666672" u="1"/>
        <n v="0.93017372093023254" u="1"/>
        <n v="0.32189347058824402" u="1"/>
        <n v="0.66562632273684219" u="1"/>
        <n v="0.76076695555555551" u="1"/>
        <n v="9.8810081000000119E-2" u="1"/>
        <n v="0.77187594117647063" u="1"/>
        <n v="0.92488184999999956" u="1"/>
        <n v="0.82081697674418608" u="1"/>
        <n v="0.36432413999999824" u="1"/>
        <n v="0.30120664705882599" u="1"/>
        <n v="0.30414163899999846" u="1"/>
        <n v="0.80069538888888914" u="1"/>
        <n v="0.93076986666666672" u="1"/>
        <n v="0.93534373333333332" u="1"/>
        <n v="0.99097744186046521" u="1"/>
        <n v="0.12062149" u="1"/>
        <n v="0.87507326610526304" u="1"/>
        <n v="0.83600775555555573" u="1"/>
        <n v="0.96816506666666668" u="1"/>
        <n v="0.51503616168421051" u="1"/>
        <n v="0.16883418000000147" u="1"/>
        <n v="0.215366742" u="1"/>
        <n v="0.85750430000000011" u="1"/>
        <n v="0.79078579547368411" u="1"/>
        <n v="0.21476040399999982" u="1"/>
        <n v="0.20329933199999972" u="1"/>
        <n v="0.94246418604651161" u="1"/>
        <n v="0.67327837209302333" u="1"/>
        <n v="0.62918674418604659" u="1"/>
        <n v="0.82220476666666664" u="1"/>
        <n v="0.40656162633980597" u="1"/>
        <n v="0.16123414000000033" u="1"/>
        <n v="0.38679660487378648" u="1"/>
        <n v="0.54847026666666654" u="1"/>
        <n v="0.34593876470588736" u="1"/>
        <n v="0.8254814249473682" u="1"/>
        <n v="0.4097528881165049" u="1"/>
        <n v="0.13529115700000072" u="1"/>
        <n v="0.54695407222222214" u="1"/>
        <n v="0.88832337242105286" u="1"/>
        <n v="0.99775480555555485" u="1"/>
        <n v="0.64441531707317068" u="1"/>
        <n v="0.10742979999999996" u="1"/>
        <n v="0.53916712004102574" u="1"/>
        <n v="0.97057566666666673" u="1"/>
        <n v="8.939357999999975E-2" u="1"/>
        <n v="8.9393579999999875E-2" u="1"/>
        <n v="0.69402995121951216" u="1"/>
        <n v="8.8134764705881011E-2" u="1"/>
        <n v="0.7551949055555558" u="1"/>
        <n v="0.85295423126315795" u="1"/>
        <n v="8.8134764705881066E-2" u="1"/>
        <n v="0.48420916272631592" u="1"/>
        <n v="0.33317400000000574" u="1"/>
        <n v="0.79180197222222226" u="1"/>
        <n v="0.10212435294117647" u="1"/>
        <n v="0.93822767441860466" u="1"/>
        <n v="0.89059488372093021" u="1"/>
        <n v="0.38600783925242721" u="1"/>
        <n v="0.13060720000000101" u="1"/>
        <n v="0.63606767441860468" u="1"/>
        <n v="0.75281102439024394" u="1"/>
        <n v="0.13060720000000126" u="1"/>
        <n v="0.75266883720930233" u="1"/>
        <n v="0.4934544628717949" u="1"/>
        <n v="0.38231341019417481" u="1"/>
        <n v="0.72540477073170739" u="1"/>
        <n v="0.60011904651162795" u="1"/>
        <n v="0.9109658139534883" u="1"/>
        <n v="0.55895467336410254" u="1"/>
        <n v="0.90653950243902437" u="1"/>
        <n v="0.23908314900000063" u="1"/>
        <n v="0.79871921951219516" u="1"/>
        <n v="0.45226322222222226" u="1"/>
        <n v="0.97372148872631581" u="1"/>
        <n v="0.35624166999999973" u="1"/>
        <n v="0.89930181052631586" u="1"/>
        <n v="0.51931982777777785" u="1"/>
        <n v="0.65552248105263178" u="1"/>
        <n v="0.54086287777777786" u="1"/>
        <n v="0.56956242547368419" u="1"/>
        <n v="0.79656893741052637" u="1"/>
        <n v="0.45677652235897448" u="1"/>
        <n v="0.42100947810526312" u="1"/>
        <n v="0.65627050555555533" u="1"/>
        <n v="0.3803516046511628" u="1"/>
        <n v="0.79048253658536594" u="1"/>
        <n v="0.16711664705882354" u="1"/>
        <n v="0.40805952125242706" u="1"/>
        <n v="0.42800825446153845" u="1"/>
        <n v="0.98739206666666668" u="1"/>
        <n v="0.91810742105263121" u="1"/>
        <n v="0.75362953488372098" u="1"/>
        <n v="0.31156029411764824" u="1"/>
        <n v="0.98763800000000002" u="1"/>
        <n v="0.97881507317073169" u="1"/>
        <n v="0.78668682777777754" u="1"/>
        <n v="0.20807658823529412" u="1"/>
        <n v="0.5791577080000001" u="1"/>
        <n v="0.77752028292682918" u="1"/>
        <n v="0.13317318700000061" u="1"/>
        <n v="0.90693826666666666" u="1"/>
        <n v="0.72647737560975612" u="1"/>
        <n v="0.96217043902439003" u="1"/>
        <n v="0.40422911764705882" u="1"/>
        <n v="0.89079978333333287" u="1"/>
        <n v="0.82462395348837203" u="1"/>
        <n v="0.92182509268292667" u="1"/>
        <n v="0.72646860465116281" u="1"/>
        <n v="0.93821502777777743" u="1"/>
        <n v="0.51360086694736851" u="1"/>
        <n v="0.17823705882352942" u="1"/>
        <n v="9.0840039999999164E-2" u="1"/>
        <n v="0.60035869589473678" u="1"/>
        <n v="0.43167463291262137" u="1"/>
        <n v="0.88270604651162787" u="1"/>
        <n v="0.27981994117647746" u="1"/>
        <n v="0.51565581605128208" u="1"/>
        <n v="0.61038189444444457" u="1"/>
        <n v="0.92527186046511622" u="1"/>
        <n v="0.40402627550485448" u="1"/>
        <n v="0.7575180748421052" u="1"/>
        <n v="0.93166416279069775" u="1"/>
        <n v="0.84411004878048745" u="1"/>
        <n v="0.80966721666666686" u="1"/>
        <n v="0.69125019473684213" u="1"/>
        <n v="0.46051121957894736" u="1"/>
        <n v="0.86093904651162789" u="1"/>
        <n v="0.83783428333333343" u="1"/>
        <n v="0.36547253488372095" u="1"/>
        <n v="0.35550515683495154" u="1"/>
        <n v="0.47683103928205134" u="1"/>
        <n v="0.64671082926829271" u="1"/>
        <n v="0.25548633099999818" u="1"/>
        <n v="0.89661255813953489" u="1"/>
        <n v="0.78603255813953488" u="1"/>
        <n v="0.51718517221052629" u="1"/>
        <n v="0.7968031219512195" u="1"/>
        <n v="0.46006732857142857" u="1"/>
        <n v="0.83131999999999995" u="1"/>
        <n v="0.4367632352941308" u="1"/>
        <n v="0.56051226666666643" u="1"/>
        <n v="0.56863313888888878" u="1"/>
        <n v="0.33710386999999997" u="1"/>
        <n v="0.53476303888888888" u="1"/>
        <n v="0.49750586905263167" u="1"/>
        <n v="0.1014085" u="1"/>
        <n v="0.82087093023255808" u="1"/>
        <n v="0.10071930000000012" u="1"/>
        <n v="0.75200330731707321" u="1"/>
        <n v="0.53845907777777779" u="1"/>
        <n v="0.62899883720930239" u="1"/>
        <n v="0.91395930232558142" u="1"/>
        <n v="0.59709965067368409" u="1"/>
        <n v="0.72339466410526321" u="1"/>
        <n v="0.97127916666666692" u="1"/>
        <n v="0.10098224000000001" u="1"/>
        <n v="0.66531472195121943" u="1"/>
        <n v="0.88147279069767448" u="1"/>
        <n v="0.87992395348837205" u="1"/>
        <n v="0.88327130526315789" u="1"/>
        <n v="0.36586535294117645" u="1"/>
        <n v="0.7173902325581395" u="1"/>
        <n v="0.346069470588241" u="1"/>
        <n v="0.68177232558139533" u="1"/>
        <n v="0.77264711764705885" u="1"/>
        <n v="0.30779882352941823" u="1"/>
        <n v="0.85539363284210523" u="1"/>
        <n v="0.98761693333333334" u="1"/>
        <n v="0.61735145715789475" u="1"/>
        <n v="0.97087239999999997" u="1"/>
        <n v="0.26557547058823927" u="1"/>
        <n v="0.70509160975609764" u="1"/>
        <n v="0.62220867317073181" u="1"/>
        <n v="0.75892082777777792" u="1"/>
        <n v="0.5580512666666666" u="1"/>
        <n v="0.83196838048780508" u="1"/>
        <n v="0.90216236097560965" u="1"/>
        <n v="0.69217129411771094" u="1"/>
        <n v="0.71829418604651163" u="1"/>
        <n v="0.59728116097560968" u="1"/>
        <n v="0.99098013333333324" u="1"/>
        <n v="0.8476120930232558" u="1"/>
        <n v="0.24405317647058825" u="1"/>
        <n v="0.9544168975609757" u="1"/>
        <n v="0.44832983249230762" u="1"/>
        <n v="0.42140255813953487" u="1"/>
        <n v="0.87667740555555562" u="1"/>
        <n v="0.11807652941176144" u="1"/>
        <n v="0.71716695348837212" u="1"/>
        <n v="0.73194209302325586" u="1"/>
        <n v="0.67402921666666671" u="1"/>
        <n v="0.85718625581395347" u="1"/>
        <n v="0.43836446651456329" u="1"/>
        <n v="0.85562039024390213" u="1"/>
        <n v="0.4823151172307692" u="1"/>
        <n v="0.58773651162790697" u="1"/>
        <n v="0.77869004878048753" u="1"/>
        <n v="0.69036532558139541" u="1"/>
        <n v="0.56449820555555563" u="1"/>
        <n v="0.79683990243902447" u="1"/>
        <n v="0.22634523529411765" u="1"/>
        <n v="0.7362057463414633" u="1"/>
        <n v="0.2263452352941179" u="1"/>
        <n v="0.85893339999999985" u="1"/>
        <n v="0.8695406829268294" u="1"/>
        <n v="0.97769386666666658" u="1"/>
        <n v="0.74277385365853665" u="1"/>
        <n v="0.86213023255813948" u="1"/>
        <n v="0.74611881395348834" u="1"/>
        <n v="0.6314079069767442" u="1"/>
        <n v="9.0191159999999188E-2" u="1"/>
        <n v="0.66225648837209306" u="1"/>
        <n v="9.0191159999999243E-2" u="1"/>
        <n v="0.80263838055555581" u="1"/>
        <n v="0.92766263611111022" u="1"/>
        <n v="0.67687502439024405" u="1"/>
        <n v="0.82229232558139531" u="1"/>
        <n v="0.4662804570526316" u="1"/>
        <n v="0.78713465116279069" u="1"/>
        <n v="0.59048723529415226" u="1"/>
        <n v="0.82307837209302326" u="1"/>
        <n v="0.94967929473684221" u="1"/>
        <n v="0.87589692222222215" u="1"/>
        <n v="0.27473205882352941" u="1"/>
        <n v="0.79994951219512178" u="1"/>
        <n v="0.74877754146341491" u="1"/>
        <n v="0.21007577999999999" u="1"/>
        <n v="0.79144350833333388" u="1"/>
        <n v="0.12337957099999956" u="1"/>
        <n v="0.78218936585365839" u="1"/>
        <n v="0.66803069767441869" u="1"/>
        <n v="0.79112380487804879" u="1"/>
        <n v="0.12470000000000001" u="1"/>
        <n v="0.78242179444444437" u="1"/>
        <n v="0.4526236666666667" u="1"/>
        <n v="0.9194878666666666" u="1"/>
        <n v="0.75318976744186039" u="1"/>
        <n v="0.70772865215789471" u="1"/>
        <n v="0.45044697674418605" u="1"/>
        <n v="0.97312359999999998" u="1"/>
        <n v="0.45293118799999998" u="1"/>
        <n v="0.98110651162790696" u="1"/>
        <n v="0.80862189999999989" u="1"/>
        <n v="0.4498160991589743" u="1"/>
        <n v="0.52143647777777791" u="1"/>
        <n v="0.9579179707317077" u="1"/>
        <n v="0.52069532777777761" u="1"/>
        <n v="0.60700378694736823" u="1"/>
        <n v="0.5481873444444445" u="1"/>
        <n v="0.39909935449514566" u="1"/>
        <n v="0.77022253488372094" u="1"/>
        <n v="0.81239418604651159" u="1"/>
        <n v="0.78172222222222221" u="1"/>
        <n v="0.50500603333333338" u="1"/>
        <n v="0.74963970588235296" u="1"/>
        <n v="0.58664403333333337" u="1"/>
        <n v="0.77847453658536581" u="1"/>
        <n v="0.94048026666666673" u="1"/>
        <n v="0.96466999999999992" u="1"/>
        <n v="0.76417584444444464" u="1"/>
        <n v="0.71698546341463398" u="1"/>
        <n v="0.63819997674418605" u="1"/>
        <n v="0.65987060694736843" u="1"/>
        <n v="0.56804334652631583" u="1"/>
        <n v="0.77703417222222204" u="1"/>
        <n v="0.51087149852631575" u="1"/>
        <n v="0.2501289411764735" u="1"/>
        <n v="0.61658741666666683" u="1"/>
        <n v="0.65363731111111112" u="1"/>
        <n v="0.42561119733009706" u="1"/>
        <n v="0.30378253199999888" u="1"/>
        <n v="0.97712806666666674" u="1"/>
        <n v="0.70846509302325578" u="1"/>
        <n v="0.8106269268292684" u="1"/>
        <n v="0.88298511627906973" u="1"/>
        <n v="0.95941626666666668" u="1"/>
        <n v="0.84464558139534884" u="1"/>
        <n v="0.36010487199999835" u="1"/>
        <n v="0.69110893157894748" u="1"/>
        <n v="0.4219244096116504" u="1"/>
        <n v="0.39019478776699029" u="1"/>
        <n v="0.84627860465116278" u="1"/>
        <n v="0.99987507317073165" u="1"/>
        <n v="0.74680047804878058" u="1"/>
        <n v="0.81748584390243906" u="1"/>
        <n v="0.55981588888888889" u="1"/>
        <n v="0.85598057560975616" u="1"/>
        <n v="0.52557787178947379" u="1"/>
        <n v="0.24507520588235987" u="1"/>
        <n v="0.73618516097560982" u="1"/>
        <n v="0.90579186046511628" u="1"/>
        <n v="0.95596160000000008" u="1"/>
        <n v="0.86388910555555576" u="1"/>
        <n v="0.38089224665048549" u="1"/>
        <n v="0.76060028292682924" u="1"/>
        <n v="0.22566647099999987" u="1"/>
        <n v="0.97323063414634137" u="1"/>
        <n v="0.76333894176842121" u="1"/>
        <n v="0.76270860465116275" u="1"/>
        <n v="0.70884234146341463" u="1"/>
        <n v="0.692465756097561" u="1"/>
        <n v="0.9800238055555559" u="1"/>
        <n v="0.86303069767441865" u="1"/>
        <n v="0.51148962222222216" u="1"/>
        <n v="0.19959376470588233" u="1"/>
        <n v="0.26933423529411765" u="1"/>
        <n v="0.97087395595789461" u="1"/>
        <n v="0.92089513333333328" u="1"/>
        <n v="0.87000897777777753" u="1"/>
        <n v="0.27460135294117644" u="1"/>
        <n v="0.96733649444443692" u="1"/>
        <n v="0.56392138863157892" u="1"/>
        <n v="0.7878641463414634" u="1"/>
        <n v="0.66923372093023259" u="1"/>
        <n v="0.4125250005048543" u="1"/>
        <n v="0.61224359999999989" u="1"/>
        <n v="0.78363023255813957" u="1"/>
        <n v="0.78998891707317087" u="1"/>
        <n v="0.87629894444444434" u="1"/>
        <n v="0.80053134189473707" u="1"/>
        <n v="0.40376325613592229" u="1"/>
        <n v="0.89564615009263182" u="1"/>
        <n v="0.36910221999999848" u="1"/>
        <n v="0.81667609756097559" u="1"/>
        <n v="0.78490395348837205" u="1"/>
        <n v="0.94183319999999993" u="1"/>
        <n v="0.71443720930232557" u="1"/>
        <n v="0.49376917647060581" u="1"/>
        <n v="0.66748325581395351" u="1"/>
        <n v="0.67085627906976741" u="1"/>
        <n v="0.53359254999999994" u="1"/>
        <n v="0.94837697560975587" u="1"/>
        <n v="0.8450455813953488" u="1"/>
        <n v="0.91503231219512204" u="1"/>
        <n v="0.13834889000000103" u="1"/>
        <n v="0.91309462790697671" u="1"/>
        <n v="0.90975481666666658" u="1"/>
        <n v="0.28985151699999839" u="1"/>
        <n v="0.4722711277777778" u="1"/>
        <n v="0.20798652941176468" u="1"/>
        <n v="0.79176241111111101" u="1"/>
        <n v="0.89562488372093019" u="1"/>
        <n v="0.45462535238095231" u="1"/>
        <n v="0.46690955178947363" u="1"/>
        <n v="0.90774901052631585" u="1"/>
        <n v="0.39975606019417481" u="1"/>
        <n v="0.76526068292682925" u="1"/>
        <n v="0.18306381199999947" u="1"/>
        <n v="0.85408674418604646" u="1"/>
        <n v="0.11555529000000027" u="1"/>
        <n v="0.80121255813953485" u="1"/>
        <n v="0.47486203005128202" u="1"/>
        <n v="0.94165733333333335" u="1"/>
        <n v="0.87904297222222239" u="1"/>
        <n v="0.7452170731707316" u="1"/>
        <n v="5.9507529411764168E-2" u="1"/>
        <n v="0.80061218400000012" u="1"/>
        <n v="0.95179369767441857" u="1"/>
        <n v="0.88944489444444441" u="1"/>
        <n v="0.46088194761904749" u="1"/>
        <n v="0.57056819116842128" u="1"/>
        <n v="0.87831837209302321" u="1"/>
        <n v="0.98420601666666663" u="1"/>
        <n v="0.64551911263157891" u="1"/>
        <n v="0.2973427959999998" u="1"/>
        <n v="0.21968258000000013" u="1"/>
        <n v="9.8043640000000154E-2" u="1"/>
        <n v="0.19036857100000121" u="1"/>
        <n v="0.82168441860465113" u="1"/>
        <n v="0.64872983333333345" u="1"/>
        <n v="0.84592438333333309" u="1"/>
        <n v="0.56660055555555577" u="1"/>
        <n v="0.65628206027368441" u="1"/>
        <n v="0.56683340000000004" u="1"/>
        <n v="0.55548266526315815" u="1"/>
        <n v="0.92434953888888838" u="1"/>
        <n v="0.84544020000000009" u="1"/>
        <n v="0.94802232558139532" u="1"/>
        <n v="0.26106916599999819" u="1"/>
        <n v="0.28390161799999863" u="1"/>
        <n v="0.41502476470589117" u="1"/>
        <n v="0.72366447804878042" u="1"/>
        <n v="0.20049153200000028" u="1"/>
        <n v="0.4447267055555556" u="1"/>
        <n v="0.76609597222222225" u="1"/>
        <n v="0.72662697674418608" u="1"/>
        <n v="0.42225533999999881" u="1"/>
        <n v="0.57537688333333326" u="1"/>
        <n v="0.92219950555555541" u="1"/>
        <n v="0.96903586666666675" u="1"/>
        <n v="0.96118173333333334" u="1"/>
        <n v="0.85998746111111135" u="1"/>
        <n v="0.95398052222222218" u="1"/>
        <n v="0.9647557789473683" u="1"/>
        <n v="0.60756981894736839" u="1"/>
        <n v="0.38901608106796115" u="1"/>
        <n v="0.20342447058823529" u="1"/>
        <n v="0.2014241799999997" u="1"/>
        <n v="0.49676983888888893" u="1"/>
        <n v="0.76545073333333313" u="1"/>
        <n v="0.9698480195121949" u="1"/>
        <n v="0.90791558139534878" u="1"/>
        <n v="0.59428835294117643" u="1"/>
        <n v="0.33715759499999864" u="1"/>
        <n v="0.19300231199999945" u="1"/>
        <n v="0.57644689999999998" u="1"/>
        <n v="0.49644584020512822" u="1"/>
        <n v="0.6946054211578947" u="1"/>
        <n v="0.89129980555555566" u="1"/>
        <n v="0.82377927906976744" u="1"/>
        <n v="0.75032069767441856" u="1"/>
        <n v="0.9928621333333334" u="1"/>
        <n v="0.14138970588235295" u="1"/>
        <n v="0.23745329411764704" u="1"/>
        <n v="0.98477599999999998" u="1"/>
        <n v="0.85636196666666653" u="1"/>
        <n v="0.96067232558139526" u="1"/>
        <n v="0.70488209302325577" u="1"/>
        <n v="0.26370180999999815" u="1"/>
        <n v="0.89852790697674423" u="1"/>
        <n v="0.89447604651162782" u="1"/>
        <n v="0.10099823999999982" u="1"/>
        <n v="0.73046069767441868" u="1"/>
        <n v="0.29776506999999952" u="1"/>
        <n v="0.54162365088205122" u="1"/>
        <n v="0.85167906666666648" u="1"/>
        <n v="0.76622787334736864" u="1"/>
        <n v="0.67472881666666673" u="1"/>
        <n v="0.9309765333333333" u="1"/>
        <n v="0.76709417473684205" u="1"/>
        <n v="0.92720714146341443" u="1"/>
        <n v="0.78392976744186049" u="1"/>
        <n v="0.57706111111111102" u="1"/>
        <n v="0.76185369767441857" u="1"/>
        <n v="0.87672604651162789" u="1"/>
        <n v="0.79048465116279065" u="1"/>
        <n v="0.92837683333333332" u="1"/>
        <n v="0.59908015000000003" u="1"/>
        <n v="0.5685119666666667" u="1"/>
        <n v="0.28149091599999987" u="1"/>
        <n v="0.93371439534883716" u="1"/>
        <n v="0.39773023950485431" u="1"/>
        <n v="0.86224813953488366" u="1"/>
        <n v="0.50880239917948711" u="1"/>
        <n v="0.76957901463414635" u="1"/>
        <n v="0.99480158048780509" u="1"/>
        <n v="0.91357348837209307" u="1"/>
        <n v="0.24875852999999992" u="1"/>
        <n v="0.49873398994871809" u="1"/>
        <n v="0.17259005882352987" u="1"/>
        <n v="0.88485374722222276" u="1"/>
        <n v="0.85895562105263168" u="1"/>
        <n v="0.9192583720930233" u="1"/>
        <n v="0.75573503333333336" u="1"/>
        <n v="0.79916651162790697" u="1"/>
        <n v="0.34486576470588326" u="1"/>
        <n v="0.5208732667368422" u="1"/>
        <n v="0.34486576470588393" u="1"/>
        <n v="0.59235000000000004" u="1"/>
        <n v="0.5199468611111111" u="1"/>
        <n v="0.88181158611111066" u="1"/>
        <n v="0.99745279069767434" u="1"/>
        <n v="0.45330227682051283" u="1"/>
        <n v="0.75011439534883717" u="1"/>
        <n v="0.40133873361165051" u="1"/>
        <n v="0.79199102439024405" u="1"/>
        <n v="0.43580734899999851" u="1"/>
        <n v="0.76357892682926831" u="1"/>
        <n v="0.92583326666666665" u="1"/>
        <n v="0.94354046511627909" u="1"/>
        <n v="0.4889288298947369" u="1"/>
        <n v="0.86625419444444451" u="1"/>
        <n v="0.58736720930232555" u="1"/>
        <n v="0.11855754500000031" u="1"/>
        <n v="0.87875860465116273" u="1"/>
        <n v="0.80548833021052635" u="1"/>
        <n v="0.57722551111111087" u="1"/>
        <n v="0.80876370588235302" u="1"/>
        <n v="0.92591846018947366" u="1"/>
        <n v="0.83314583984210544" u="1"/>
        <n v="0.88469067441860461" u="1"/>
        <n v="0.25595645699999975" u="1"/>
        <n v="0.54272303888888895" u="1"/>
        <n v="0.30284358999999866" u="1"/>
        <n v="0.30284358999999872" u="1"/>
        <n v="0.38857239233009716" u="1"/>
        <n v="0.93724011978947408" u="1"/>
        <n v="0.77622097560975623" u="1"/>
        <n v="0.85919069767441858" u="1"/>
        <n v="0.57165999999999995" u="1"/>
        <n v="0.85708069767441863" u="1"/>
        <n v="0.95741639999999995" u="1"/>
        <n v="0.90597937222222213" u="1"/>
        <n v="0.9841437750000005" u="1"/>
        <n v="0.28000314999999981" u="1"/>
        <n v="0.28000314999999987" u="1"/>
        <n v="0.59089857115789479" u="1"/>
        <n v="0.75405395348837201" u="1"/>
        <n v="0.42282168488349509" u="1"/>
        <n v="0.17055374000000001" u="1"/>
        <n v="0.85500441860465115" u="1"/>
        <n v="0.25293176999999978" u="1"/>
        <n v="0.25293176999999994" u="1"/>
        <n v="0.55557869388421055" u="1"/>
        <n v="0.44472001904761904" u="1"/>
        <n v="0.73004230232558143" u="1"/>
        <n v="0.69907604651162791" u="1"/>
        <n v="0.54499133333333327" u="1"/>
        <n v="0.85634079894736848" u="1"/>
        <n v="0.53252943888888882" u="1"/>
        <n v="0.24109981200000064" u="1"/>
        <n v="0.86945900317894731" u="1"/>
        <n v="0.16185605300000097" u="1"/>
        <n v="0.65129053658536573" u="1"/>
        <n v="0.7944930731707317" u="1"/>
        <n v="0.5606878074871795" u="1"/>
        <n v="0.95730280555555591" u="1"/>
        <n v="0.78948809756097549" u="1"/>
        <n v="0.40064672897087378" u="1"/>
        <n v="0.10801755200000039" u="1"/>
        <n v="0.81353372093023257" u="1"/>
        <n v="0.72552651694736847" u="1"/>
        <n v="0.84429367777777775" u="1"/>
        <n v="0.79795495555555562" u="1"/>
        <n v="0.71286028292682935" u="1"/>
        <n v="0.11833310000000048" u="1"/>
        <n v="0.38210603044660202" u="1"/>
        <n v="0.19625800999999959" u="1"/>
        <n v="0.30114358999999874" u="1"/>
        <n v="0.96196585555555492" u="1"/>
        <n v="0.94436466666666663" u="1"/>
        <n v="0.92654953488372094" u="1"/>
        <n v="0.61049833894736827" u="1"/>
        <n v="0.99780232558139537" u="1"/>
        <n v="0.26039627999999965" u="1"/>
        <n v="0.3602036049611651" u="1"/>
        <n v="0.46408324652631583" u="1"/>
        <n v="0.6272625581395348" u="1"/>
        <n v="0.24094066199999817" u="1"/>
        <n v="9.1546352941174955E-2" u="1"/>
        <n v="0.92417649999999973" u="1"/>
        <n v="0.78085951219512206" u="1"/>
        <n v="0.86886069767441865" u="1"/>
        <n v="0.83884348837209299" u="1"/>
        <n v="0.79918403902439017" u="1"/>
        <n v="0.23459420588235763" u="1"/>
        <n v="0.58715442926829275" u="1"/>
        <n v="0.90386719999999987" u="1"/>
        <n v="0.63547823529411773" u="1"/>
        <n v="0.9384179707317073" u="1"/>
        <n v="0.24057744117647573" u="1"/>
        <n v="0.14876250000000105" u="1"/>
        <n v="0.98169266666666666" u="1"/>
        <n v="0.25644882999999979" u="1"/>
        <n v="0.92871033333333253" u="1"/>
        <n v="0.76251502777777791" u="1"/>
        <n v="0.67111589268292682" u="1"/>
        <n v="0.93735837209302331" u="1"/>
        <n v="0.72430209302325577" u="1"/>
        <n v="0.9365399767441861" u="1"/>
        <n v="0.17435880000000126" u="1"/>
        <n v="0.78586860465116282" u="1"/>
        <n v="0.88572112610526332" u="1"/>
        <n v="0.7478716279069767" u="1"/>
        <n v="0.59121370000000029" u="1"/>
        <n v="0.7119616279069767" u="1"/>
        <n v="0.18626935294117572" u="1"/>
        <n v="0.84668185365853676" u="1"/>
        <n v="0.45862707810526299" u="1"/>
        <n v="0.88345487039999981" u="1"/>
        <n v="0.19305828200000022" u="1"/>
        <n v="0.25442788799999977" u="1"/>
        <n v="0.9231327906976744" u="1"/>
        <n v="0.34148887000000011" u="1"/>
        <n v="0.74215541176478494" u="1"/>
        <n v="0.81711677071578948" u="1"/>
        <n v="0.87792545365853658" u="1"/>
        <n v="0.98006093333333333" u="1"/>
        <n v="0.55060624444444473" u="1"/>
        <n v="0.76019689756097553" u="1"/>
        <n v="0.53351226856410261" u="1"/>
        <n v="0.65479635294117655" u="1"/>
        <n v="0.47690096111111102" u="1"/>
        <n v="7.5839999999999991E-2" u="1"/>
        <n v="0.69604574634146343" u="1"/>
        <n v="0.82946607222222235" u="1"/>
        <n v="0.75186840975609759" u="1"/>
        <n v="0.85059071052631607" u="1"/>
        <n v="0.26096037000000011" u="1"/>
        <n v="0.54640555437948712" u="1"/>
        <n v="0.67942602325581392" u="1"/>
        <n v="0.86747278048780496" u="1"/>
        <n v="0.38190768899999994" u="1"/>
        <n v="0.14382618399999952" u="1"/>
        <n v="0.70417325581395351" u="1"/>
        <n v="0.22238255882353292" u="1"/>
        <n v="0.60541945000000008" u="1"/>
        <n v="0.17193625600000012" u="1"/>
        <n v="0.37137606699999792" u="1"/>
        <n v="0.92953651162790696" u="1"/>
        <n v="0.12839258199999951" u="1"/>
        <n v="0.71213627906976751" u="1"/>
        <n v="0.46898594117647063" u="1"/>
        <n v="0.82972509444444453" u="1"/>
        <n v="0.53355699444444449" u="1"/>
        <n v="0.99054626666666667" u="1"/>
        <n v="0.88908206976744186" u="1"/>
        <n v="0.27819835294117651" u="1"/>
        <n v="0.75318697674418611" u="1"/>
        <n v="0.1915904100000001" u="1"/>
        <n v="0.60421414634146342" u="1"/>
        <n v="0.55955778333333328" u="1"/>
        <n v="0.96483388292682926" u="1"/>
        <n v="0.96367460000000005" u="1"/>
        <n v="0.16945298999999978" u="1"/>
        <n v="0.1694529899999998" u="1"/>
        <n v="0.93335325581395345" u="1"/>
        <n v="0.53566551712820509" u="1"/>
        <n v="0.79200372093023252" u="1"/>
        <n v="0.70882023255813953" u="1"/>
        <n v="0.79451009302325581" u="1"/>
        <n v="0.80071906976744189" u="1"/>
        <n v="0.85728581395348846" u="1"/>
        <n v="0.59383431957894739" u="1"/>
        <n v="0.73982262439024382" u="1"/>
        <n v="0.68921072195121946" u="1"/>
        <n v="0.74471083902439006" u="1"/>
        <n v="0.5500437944444444" u="1"/>
        <n v="0.78830625581395342" u="1"/>
        <n v="0.7709323023255813" u="1"/>
        <n v="0.1341093000000004" u="1"/>
        <n v="0.7973754146341463" u="1"/>
        <n v="0.53195169444444457" u="1"/>
        <n v="0.88474614444444455" u="1"/>
        <n v="0.14605662999999999" u="1"/>
        <n v="0.46583292484210537" u="1"/>
        <n v="0.49793822063157889" u="1"/>
        <n v="0.11000874120000001" u="1"/>
        <n v="0.18558588000000001" u="1"/>
        <n v="0.35344627999999839" u="1"/>
        <n v="0.2307240800000003" u="1"/>
        <n v="0.28267250599999882" u="1"/>
        <n v="0.87766753333333292" u="1"/>
        <n v="0.92065976744186051" u="1"/>
        <n v="0.79940308947368421" u="1"/>
        <n v="0.56164326111111107" u="1"/>
        <n v="0.52297585555555548" u="1"/>
        <n v="0.79637648837209307" u="1"/>
        <n v="0.72148149417894747" u="1"/>
        <n v="0.84789186046511622" u="1"/>
        <n v="0.14277762699999952" u="1"/>
        <n v="9.4541060000000149E-2" u="1"/>
        <n v="0.93945997674418613" u="1"/>
        <n v="0.6719450588235294" u="1"/>
        <n v="0.85033994999999996" u="1"/>
        <n v="0.94547905365853624" u="1"/>
        <n v="0.79202206976744183" u="1"/>
        <n v="0.25836513399999989" u="1"/>
        <n v="0.75911395348837207" u="1"/>
        <n v="0.97874773333333331" u="1"/>
        <n v="0.96787066666666666" u="1"/>
        <n v="0.77262284878048804" u="1"/>
        <n v="0.81035141463414628" u="1"/>
        <n v="0.63084629789473678" u="1"/>
        <n v="0.17267797600000045" u="1"/>
        <n v="0.86169744186046515" u="1"/>
        <n v="0.11039376000000001" u="1"/>
        <n v="0.88271678947368437" u="1"/>
        <n v="0.93673753333333332" u="1"/>
        <n v="0.46985432276923061" u="1"/>
        <n v="0.36159611696116506" u="1"/>
        <n v="0.64777116279069769" u="1"/>
        <n v="0.77397268315789491" u="1"/>
        <n v="0.89410000000000001" u="1"/>
        <n v="0.39741335349514578" u="1"/>
        <n v="0.38665957099999859" u="1"/>
        <n v="0.8779946279069768" u="1"/>
        <n v="0.86389162790697671" u="1"/>
        <n v="0.92157048692631549" u="1"/>
        <n v="0.88752837209302327" u="1"/>
        <n v="0.64201236589473676" u="1"/>
        <n v="0.88282625581395346" u="1"/>
        <n v="0.56163855555555553" u="1"/>
        <n v="0.84580067777777779" u="1"/>
        <n v="0.68079618536585362" u="1"/>
        <n v="0.40102170588235292" u="1"/>
        <n v="0.50646108421052616" u="1"/>
        <n v="0.16174933999999999" u="1"/>
        <n v="0.56313982352941183" u="1"/>
        <n v="0.13620463000000002" u="1"/>
        <n v="0.92162759999999999" u="1"/>
        <n v="0.65572927906976752" u="1"/>
        <n v="0.56658841666666648" u="1"/>
        <n v="0.51510348837209308" u="1"/>
        <n v="0.23099435294117648" u="1"/>
        <n v="0.64156852941176468" u="1"/>
        <n v="0.9350075317073171" u="1"/>
        <n v="0.96312031111111107" u="1"/>
        <n v="0.41433780421359212" u="1"/>
        <n v="0.50589748355789488" u="1"/>
        <n v="0.98291813953488372" u="1"/>
        <n v="0.99123992195121979" u="1"/>
        <n v="0.76481794117647051" u="1"/>
        <n v="0.9735974833333334" u="1"/>
        <n v="0.62631775578947357" u="1"/>
        <n v="0.74648083168421064" u="1"/>
        <n v="0.9366843777777768" u="1"/>
        <n v="0.65333860465116289" u="1"/>
        <n v="0.72756774831578941" u="1"/>
        <n v="0.65447574448421064" u="1"/>
        <n v="0.72850965853658534" u="1"/>
        <n v="0.25189091999999996" u="1"/>
        <n v="0.91916865069473697" u="1"/>
        <n v="0.36446413999999833" u="1"/>
        <n v="0.38366288990291264" u="1"/>
        <n v="0.36446413999999849" u="1"/>
        <n v="0.57782115000000001" u="1"/>
        <n v="0.90346935609756085" u="1"/>
        <n v="0.38780779368932039" u="1"/>
        <n v="0.96699171250526306" u="1"/>
        <n v="0.85555122222222235" u="1"/>
        <n v="0.45073306757894727" u="1"/>
        <n v="0.98468581395348842" u="1"/>
        <n v="0.78325139534883725" u="1"/>
        <n v="0.21170181200000018" u="1"/>
        <n v="0.92291686111111026" u="1"/>
        <n v="0.92820439534883714" u="1"/>
        <n v="0.80159395121951216" u="1"/>
        <n v="0.79747531707317076" u="1"/>
        <n v="0.71352579069767441" u="1"/>
        <n v="0.38431672324271843" u="1"/>
        <n v="0.51055474995789463" u="1"/>
        <n v="0.61604789268292681" u="1"/>
        <n v="0.76178894117655527" u="1"/>
        <n v="0.84600297222222209" u="1"/>
        <n v="0.19475721200000046" u="1"/>
        <n v="0.76168975609756084" u="1"/>
        <n v="0.77328164878048788" u="1"/>
        <n v="0.21836744199999999" u="1"/>
        <n v="0.37711954614563115" u="1"/>
        <n v="0.707179046511628" u="1"/>
      </sharedItems>
    </cacheField>
    <cacheField name="Estimated Unoccupied CBM" numFmtId="1">
      <sharedItems containsSemiMixedTypes="0" containsString="0" containsNumber="1" minValue="0" maxValue="10756.328100000001"/>
    </cacheField>
    <cacheField name="Forecasted occupancy CBM" numFmtId="1">
      <sharedItems containsNonDate="0" containsString="0" containsBlank="1"/>
    </cacheField>
    <cacheField name="Sellable CBM" numFmtId="1">
      <sharedItems containsSemiMixedTypes="0" containsString="0" containsNumber="1" minValue="0" maxValue="11176.328100000001"/>
    </cacheField>
    <cacheField name="DC2" numFmtId="164">
      <sharedItems/>
    </cacheField>
    <cacheField name="measurement" numFmtId="0">
      <sharedItems/>
    </cacheField>
    <cacheField name="Capacity" numFmtId="0">
      <sharedItems containsSemiMixedTypes="0" containsString="0" containsNumber="1" containsInteger="1" minValue="100" maxValue="2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hruhan Sivalogithan" refreshedDate="45128.407600115737" createdVersion="5" refreshedVersion="8" minRefreshableVersion="3" recordCount="8" xr:uid="{00000000-000A-0000-FFFF-FFFF59000000}">
  <cacheSource type="worksheet">
    <worksheetSource ref="AIJ1:AIR9" sheet="All WH"/>
  </cacheSource>
  <cacheFields count="9">
    <cacheField name="DC" numFmtId="0">
      <sharedItems count="25">
        <s v="Orugodawatta DC"/>
        <s v="Orugodawatta DC Cold Room "/>
        <s v="Peliyagoda DC"/>
        <s v="Expo Global Freeport "/>
        <s v="Hirdaramani Knit Client Warehouse"/>
        <s v="Hirdaramani Woven Client Warehouse "/>
        <s v="Kandana DC"/>
        <s v="Nestle - Main DC"/>
        <s v="KFC" u="1"/>
        <s v="EGF" u="1"/>
        <s v="PFC" u="1"/>
        <s v="Kandana DC - Main WH" u="1"/>
        <s v="Ja Ela" u="1"/>
        <s v="Expo Global Freeport DC" u="1"/>
        <s v="Expo Global Freeport -  Hidramani Woven" u="1"/>
        <s v="Expo Global Freeport -  Mercury Plant" u="1"/>
        <s v="Cold Room Orugodawatta DC" u="1"/>
        <s v="Kandana DC -  WH No 02" u="1"/>
        <s v="LPPL" u="1"/>
        <s v="BIPL" u="1"/>
        <s v="Kandana " u="1"/>
        <s v="Kandana DC - Chemical store" u="1"/>
        <s v="OFC" u="1"/>
        <s v="Kandana DC - Second WH" u="1"/>
        <s v="Nuge Rd" u="1"/>
      </sharedItems>
    </cacheField>
    <cacheField name="Occupancy" numFmtId="1">
      <sharedItems containsSemiMixedTypes="0" containsString="0" containsNumber="1" minValue="0" maxValue="9169"/>
    </cacheField>
    <cacheField name="Utilization %" numFmtId="9">
      <sharedItems containsSemiMixedTypes="0" containsString="0" containsNumber="1" minValue="0" maxValue="1" count="4216">
        <n v="0.46968139294174771"/>
        <n v="0.36439366699999859"/>
        <n v="0.60055033170731698"/>
        <n v="0.4177939"/>
        <n v="0"/>
        <n v="0.72438162790697669"/>
        <n v="1"/>
        <n v="0.90504392458789851"/>
        <n v="0.68523672222222209" u="1"/>
        <n v="0.3840685589999997" u="1"/>
        <n v="0.98438047368421044" u="1"/>
        <n v="0.67020789473684217" u="1"/>
        <n v="0.90124181052631569" u="1"/>
        <n v="0.1077678460000001" u="1"/>
        <n v="0.75284210526315787" u="1"/>
        <n v="0.8541713055555552" u="1"/>
        <n v="0.75137765000000012" u="1"/>
        <n v="0.75165334122988847" u="1"/>
        <n v="0.44819563809523816" u="1"/>
        <n v="0.91264435889843054" u="1"/>
        <n v="0.68600000000000005" u="1"/>
        <n v="0.32403370588235852" u="1"/>
        <n v="0.91677279069767448" u="1"/>
        <n v="0.96588888888888891" u="1"/>
        <n v="0.94836773333333335" u="1"/>
        <n v="0.61915789473684213" u="1"/>
        <n v="0.94610601125259108" u="1"/>
        <n v="0.62744888888888883" u="1"/>
        <n v="0.6609312352941521" u="1"/>
        <n v="0.17080289000000001" u="1"/>
        <n v="0.7553333333333333" u="1"/>
        <n v="7.6999999999999999E-2" u="1"/>
        <n v="0.57742105263157895" u="1"/>
        <n v="0.77219888888888888" u="1"/>
        <n v="0.79421866111111106" u="1"/>
        <n v="0.82748870555555554" u="1"/>
        <n v="5.5115117647058266E-2" u="1"/>
        <n v="0.63098630769230768" u="1"/>
        <n v="0.67643865363735067" u="1"/>
        <n v="0.85427058947368417" u="1"/>
        <n v="0.8013994333333333" u="1"/>
        <n v="0.83742967130589285" u="1"/>
        <n v="0.64211023255813959" u="1"/>
        <n v="0.88939775789473696" u="1"/>
        <n v="0.73405555555555557" u="1"/>
        <n v="0.94136215384615385" u="1"/>
        <n v="0.7529890731707316" u="1"/>
        <n v="0.89244444444444448" u="1"/>
        <n v="0.8533964780487806" u="1"/>
        <n v="0.13997724699999967" u="1"/>
        <n v="0.86515810555555572" u="1"/>
        <n v="0.604391052631579" u="1"/>
        <n v="0.66568461538461532" u="1"/>
        <n v="0.96615593071578942" u="1"/>
        <n v="0.78635775609756098" u="1"/>
        <n v="0.75299736842105269" u="1"/>
        <n v="0.98889067441860468" u="1"/>
        <n v="0.84559372093023255" u="1"/>
        <n v="0.75122222222222224" u="1"/>
        <n v="0.7870062634146342" u="1"/>
        <n v="0.80133333333333334" u="1"/>
        <n v="0.69667418604651166" u="1"/>
        <n v="0.38815416262135927" u="1"/>
        <n v="0.60602842105263166" u="1"/>
        <n v="0.97552067910374096" u="1"/>
        <n v="0.99966388888888891" u="1"/>
        <n v="0.9901293060902181" u="1"/>
        <n v="0.4910106666666666" u="1"/>
        <n v="0.76464676916892771" u="1"/>
        <n v="0.95965406666666664" u="1"/>
        <n v="0.22729198000000037" u="1"/>
        <n v="0.42650769230769231" u="1"/>
        <n v="0.65257936507936509" u="1"/>
        <n v="0.71189333333333338" u="1"/>
        <n v="0.86684433915704273" u="1"/>
        <n v="0.77889858139534884" u="1"/>
        <n v="0.67787813550526321" u="1"/>
        <n v="0.40812581054368924" u="1"/>
        <n v="0.94605270243902417" u="1"/>
        <n v="0.80596847804878058" u="1"/>
        <n v="0.90030599151120327" u="1"/>
        <n v="0.2929433469999998" u="1"/>
        <n v="0.77800000000000002" u="1"/>
        <n v="0.64740740740740743" u="1"/>
        <n v="0.33944615384615384" u="1"/>
        <n v="0.60243315789473695" u="1"/>
        <n v="0.73114811627906984" u="1"/>
        <n v="0.79539414634146344" u="1"/>
        <n v="0.70920897560975604" u="1"/>
        <n v="0.83194604651162785" u="1"/>
        <n v="0.61703703703703705" u="1"/>
        <n v="0.88990903157894741" u="1"/>
        <n v="0.73352214634146351" u="1"/>
        <n v="0.82007185000000005" u="1"/>
        <n v="0.14369924000000128" u="1"/>
        <n v="0.66834468463132957" u="1"/>
        <n v="0.90241511578947375" u="1"/>
        <n v="0.94035294117647061" u="1"/>
        <n v="0.67525527222222215" u="1"/>
        <n v="0.99729411764705878" u="1"/>
        <n v="0.91842105263157892" u="1"/>
        <n v="0.72123842105263158" u="1"/>
        <n v="0.5356441999999999" u="1"/>
        <n v="0.93925071219512191" u="1"/>
        <n v="0.80788279069767444" u="1"/>
        <n v="0.3877846699029126" u="1"/>
        <n v="0.7206593623531734" u="1"/>
        <n v="0.87740598164050931" u="1"/>
        <n v="0.3821841399999984" u="1"/>
        <n v="0.88165038002171547" u="1"/>
        <n v="0.54733777777777781" u="1"/>
        <n v="0.97663225555554689" u="1"/>
        <n v="0.48450528943589749" u="1"/>
        <n v="0.77388888888888885" u="1"/>
        <n v="0.89722626666666672" u="1"/>
        <n v="0.51839462790697677" u="1"/>
        <n v="0.73449372466195717" u="1"/>
        <n v="0.91511203237587602" u="1"/>
        <n v="0.98249839999999999" u="1"/>
        <n v="0.92710653333333337" u="1"/>
        <n v="0.87815628292682923" u="1"/>
        <n v="0.9427340333333335" u="1"/>
        <n v="0.88887395136842107" u="1"/>
        <n v="0.9641648266666667" u="1"/>
        <n v="0.4483692307692308" u="1"/>
        <n v="0.64544467476063572" u="1"/>
        <n v="0.64297631578947367" u="1"/>
        <n v="0.61179782222222223" u="1"/>
        <n v="0.86244444444444446" u="1"/>
        <n v="0.45083076923076926" u="1"/>
        <n v="0.32111111111111112" u="1"/>
        <n v="0.99791039999999998" u="1"/>
        <n v="0.54010987777777775" u="1"/>
        <n v="7.982148E-2" u="1"/>
        <n v="0.70148148148148148" u="1"/>
        <n v="9.2975697999999996E-2" u="1"/>
        <n v="7.0333333333333331E-2" u="1"/>
        <n v="0.89305997777777801" u="1"/>
        <n v="0.79307921951219507" u="1"/>
        <n v="0.6778160284210526" u="1"/>
        <n v="0.85245277777777773" u="1"/>
        <n v="0.40534117647058826" u="1"/>
        <n v="0.78528441860465115" u="1"/>
        <n v="0.97369240000000001" u="1"/>
        <n v="0.58669927747368422" u="1"/>
        <n v="0.87191529331397832" u="1"/>
        <n v="7.9000000000000001E-2" u="1"/>
        <n v="0.91106504787286546" u="1"/>
        <n v="0.76389473684210529" u="1"/>
        <n v="0.9201111111111111" u="1"/>
        <n v="0.32010588235294113" u="1"/>
        <n v="0.9388973444444354" u="1"/>
        <n v="0.375" u="1"/>
        <n v="0.54919490469473686" u="1"/>
        <n v="0.99830107692307701" u="1"/>
        <n v="0.75719232558139538" u="1"/>
        <n v="0.81699733491264437" u="1"/>
        <n v="0.85801878947368426" u="1"/>
        <n v="0.18276831199999954" u="1"/>
        <n v="0.72607160975609752" u="1"/>
        <n v="0.54099023888888886" u="1"/>
        <n v="0.74887758156240647" u="1"/>
        <n v="0.66386781463414646" u="1"/>
        <n v="0.85170464444444449" u="1"/>
        <n v="0.88093365263157886" u="1"/>
        <n v="0.74937947368421043" u="1"/>
        <n v="0.73810927804878046" u="1"/>
        <n v="0.96952936000000001" u="1"/>
        <n v="0.99785869333333332" u="1"/>
        <n v="0.86980710243902426" u="1"/>
        <n v="0.73633333333333328" u="1"/>
        <n v="0.92020353846153846" u="1"/>
        <n v="0.78545589268292682" u="1"/>
        <n v="0.65533333333333332" u="1"/>
        <n v="0.40176461538461533" u="1"/>
        <n v="0.99091277777777775" u="1"/>
        <n v="0.66494444444444445" u="1"/>
        <n v="0.75555555555555554" u="1"/>
        <n v="0.86837204743702834" u="1"/>
        <n v="0.85552388372093024" u="1"/>
        <n v="0.406214589223301" u="1"/>
        <n v="0.80230720975609759" u="1"/>
        <n v="0.26846906999999953" u="1"/>
        <n v="0.79164333333333337" u="1"/>
        <n v="0.9746670944444441" u="1"/>
        <n v="0.39248566473786417" u="1"/>
        <n v="0.6747221052631579" u="1"/>
        <n v="0.98736146666666669" u="1"/>
        <n v="0.82951562222222242" u="1"/>
        <n v="0.86526502813147765" u="1"/>
        <n v="0.87706581395348837" u="1"/>
        <n v="0.86340438048780466" u="1"/>
        <n v="0.94465462790697674" u="1"/>
        <n v="0.70133333333333336" u="1"/>
        <n v="0.91757970585332149" u="1"/>
        <n v="0.6215559902439024" u="1"/>
        <n v="0.6768296222222222" u="1"/>
        <n v="0.30611111111111111" u="1"/>
        <n v="0.36808626650485438" u="1"/>
        <n v="0.96481773333333332" u="1"/>
        <n v="0.71947894736842111" u="1"/>
        <n v="0.97851253333333332" u="1"/>
        <n v="0.38194168539805828" u="1"/>
        <n v="0.87458959999999997" u="1"/>
        <n v="0.89498418604651153" u="1"/>
        <n v="0.83514617894736842" u="1"/>
        <n v="0.73977777777777776" u="1"/>
        <n v="0.74658285942332636" u="1"/>
        <n v="0.38825166999999994" u="1"/>
        <n v="0.98394426666666668" u="1"/>
        <n v="0.4125242704174758" u="1"/>
        <n v="0.89694117647058824" u="1"/>
        <n v="0.8612180436284671" u="1"/>
        <n v="0.81800824037785147" u="1"/>
        <n v="0.3823188823529447" u="1"/>
        <n v="0.92979240000000007" u="1"/>
        <n v="0.97470482666666658" u="1"/>
        <n v="0.64814814814814814" u="1"/>
        <n v="0.74324188523766455" u="1"/>
        <n v="0.2252800849999981" u="1"/>
        <n v="0.59860684210526316" u="1"/>
        <n v="0.82800293684210513" u="1"/>
        <n v="0.85456837209302317" u="1"/>
        <n v="0.10249035294117646" u="1"/>
        <n v="0.7860033560359293" u="1"/>
        <n v="0.62284210526315786" u="1"/>
        <n v="0.91601573333333342" u="1"/>
        <n v="0.74068883720930234" u="1"/>
        <n v="0.81666666666666665" u="1"/>
        <n v="0.8706483804878048" u="1"/>
        <n v="0.8208418604651162" u="1"/>
        <n v="0.81946500839008984" u="1"/>
        <n v="0.55600000000000005" u="1"/>
        <n v="0.91205585555555158" u="1"/>
        <n v="0.46296296296296297" u="1"/>
        <n v="0.10869452" u="1"/>
        <n v="0.47498461538461539" u="1"/>
        <n v="0.51421538461538463" u="1"/>
        <n v="0.61511538461538462" u="1"/>
        <n v="0.9615408975609756" u="1"/>
        <n v="0.97735494634146303" u="1"/>
        <n v="0.51913846153846155" u="1"/>
        <n v="0.97467500000000007" u="1"/>
        <n v="0.79333333333333333" u="1"/>
        <n v="0.90948573684730039" u="1"/>
        <n v="0.27449358823529413" u="1"/>
        <n v="0.79158429268292674" u="1"/>
        <n v="0.76734774454644161" u="1"/>
        <n v="0.72251969756097556" u="1"/>
        <n v="0.84625413658536586" u="1"/>
        <n v="0.58277777777777773" u="1"/>
        <n v="0.89726883720930228" u="1"/>
        <n v="0.99734217777777767" u="1"/>
        <n v="0.99042546666666664" u="1"/>
        <n v="0.62299421052631576" u="1"/>
        <n v="0.10277025999999999" u="1"/>
        <n v="0.58733578947368414" u="1"/>
        <n v="0.721189736585366" u="1"/>
        <n v="0.36113749644660192" u="1"/>
        <n v="0.64883315789473683" u="1"/>
        <n v="0.75604325581395349" u="1"/>
        <n v="0.86692090697674418" u="1"/>
        <n v="0.46409330555555556" u="1"/>
        <n v="0.93152206666666681" u="1"/>
        <n v="0.93973752777777775" u="1"/>
        <n v="0.32410011764705882" u="1"/>
        <n v="0.9910176685420985" u="1"/>
        <n v="0.89149999999999996" u="1"/>
        <n v="0.52393107705263153" u="1"/>
        <n v="0.62307131707317076" u="1"/>
        <n v="0.78549336525990221" u="1"/>
        <n v="0.86149015000000018" u="1"/>
        <n v="0.79195907777777808" u="1"/>
        <n v="0.87058197222222222" u="1"/>
        <n v="0.86773270160892313" u="1"/>
        <n v="0.97645888888888877" u="1"/>
        <n v="0.77247784390243901" u="1"/>
        <n v="7.7357019999999999E-2" u="1"/>
        <n v="0.90119435396308356" u="1"/>
        <n v="0.67557894736842106" u="1"/>
        <n v="0.90444030555555521" u="1"/>
        <n v="0.81954652777777781" u="1"/>
        <n v="0.3965965655339807" u="1"/>
        <n v="0.82169534883720929" u="1"/>
        <n v="0.80005093023255813" u="1"/>
        <n v="0.86816666666666664" u="1"/>
        <n v="0.89542291482897185" u="1"/>
        <n v="0.94711111111111113" u="1"/>
        <n v="0.86368571710591258" u="1"/>
        <n v="0.72694444444444439" u="1"/>
        <n v="0.47833333333333333" u="1"/>
        <n v="0.69210346511627907" u="1"/>
        <n v="0.10800199999999993" u="1"/>
        <n v="0.5297185105263158" u="1"/>
        <n v="0.89452631578947372" u="1"/>
        <n v="0.31685764705882891" u="1"/>
        <n v="0.65555555555555556" u="1"/>
        <n v="0.39600705882352938" u="1"/>
        <n v="0.88533333333333331" u="1"/>
        <n v="0.88415449873684226" u="1"/>
        <n v="0.59294524589473674" u="1"/>
        <n v="0.69295672093023264" u="1"/>
        <n v="0.62518518518518518" u="1"/>
        <n v="0.72703383414634148" u="1"/>
        <n v="0.8426429333333334" u="1"/>
        <n v="0.97675362105263119" u="1"/>
        <n v="0.2949846153846154" u="1"/>
        <n v="0.33859447058823527" u="1"/>
        <n v="0.77500000000000002" u="1"/>
        <n v="0.95487040000000001" u="1"/>
        <n v="0.82737639444444444" u="1"/>
        <n v="0.69399999999999995" u="1"/>
        <n v="0.89478815384615373" u="1"/>
        <n v="0.94686602926829266" u="1"/>
        <n v="0.60416263157894734" u="1"/>
        <n v="0.91906723333333318" u="1"/>
        <n v="0.98648315789473684" u="1"/>
        <n v="0.65144046511627907" u="1"/>
        <n v="0.76333333333333331" u="1"/>
        <n v="0.25512991999999995" u="1"/>
        <n v="0.93807441052631568" u="1"/>
        <n v="0.85963873260290202" u="1"/>
        <n v="0.79941176470588238" u="1"/>
        <n v="0.50266666666666671" u="1"/>
        <n v="0.87424735958937916" u="1"/>
        <n v="0.73244444444444445" u="1"/>
        <n v="0.96747029268292684" u="1"/>
        <n v="0.88973868333333361" u="1"/>
        <n v="0.93133333333333335" u="1"/>
        <n v="0.79216666666666669" u="1"/>
        <n v="0.58355781702085208" u="1"/>
        <n v="0.91047058823529414" u="1"/>
        <n v="0.71116666666666661" u="1"/>
        <n v="0.9674117647058823" u="1"/>
        <n v="0.92680754999999992" u="1"/>
        <n v="0.46723389915789476" u="1"/>
        <n v="0.61126315789473684" u="1"/>
        <n v="0.90251466666666658" u="1"/>
        <n v="0.96016666666666661" u="1"/>
        <n v="0.64353082777777793" u="1"/>
        <n v="0.94541506267890629" u="1"/>
        <n v="0.74" u="1"/>
        <n v="0.79454578947368426" u="1"/>
        <n v="0.83191833285263161" u="1"/>
        <n v="0.97938888888888886" u="1"/>
        <n v="0.67315789473684207" u="1"/>
        <n v="0.93818534883720928" u="1"/>
        <n v="0.70962962962962961" u="1"/>
        <n v="0.93379767777777767" u="1"/>
        <n v="0.92365069767441854" u="1"/>
        <n v="0.92628358888888884" u="1"/>
        <n v="0.80933333333333335" u="1"/>
        <n v="0.68422052631578945" u="1"/>
        <n v="0.86645343333333347" u="1"/>
        <n v="9.1032979999999847E-2" u="1"/>
        <n v="0.84949434146341452" u="1"/>
        <n v="0.125" u="1"/>
        <n v="0.70853488372093021" u="1"/>
        <n v="0.89952941176470591" u="1"/>
        <n v="0.88675421052631564" u="1"/>
        <n v="0.90366202744052904" u="1"/>
        <n v="0.84777777777777774" u="1"/>
        <n v="5.5E-2" u="1"/>
        <n v="0.53700000000000003" u="1"/>
        <n v="0.36813275899999987" u="1"/>
        <n v="0.72490393800000019" u="1"/>
        <n v="0.76238084444444432" u="1"/>
        <n v="0.34171852941176473" u="1"/>
        <n v="0.78656854378947383" u="1"/>
        <n v="0.88796558139534887" u="1"/>
        <n v="0.94136807817589574" u="1"/>
        <n v="0.96169333333333085" u="1"/>
        <n v="0.99737280000000006" u="1"/>
        <n v="0.75710576585365841" u="1"/>
        <n v="0.74493746341463407" u="1"/>
        <n v="0.86380139534883726" u="1"/>
        <n v="0.15641058000000041" u="1"/>
        <n v="0.70154407011578956" u="1"/>
        <n v="0.3333176470588235" u="1"/>
        <n v="0.95113767441860464" u="1"/>
        <n v="0.66438788372093027" u="1"/>
        <n v="0.82444444444444442" u="1"/>
        <n v="0.69998904651162797" u="1"/>
        <n v="0.69955356097560972" u="1"/>
        <n v="0.99964705882352944" u="1"/>
        <n v="0.81277777777777782" u="1"/>
        <n v="0.45166666666666666" u="1"/>
        <n v="0.82427413658536586" u="1"/>
        <n v="0.93307669529167903" u="1"/>
        <n v="0.12377879299999936" u="1"/>
        <n v="0.95972684999999991" u="1"/>
        <n v="0.97078274602704573" u="1"/>
        <n v="0.80205631578947367" u="1"/>
        <n v="0.14667237899999958" u="1"/>
        <n v="0.67155555555555557" u="1"/>
        <n v="0.81057180182896194" u="1"/>
        <n v="0.96986166666666662" u="1"/>
        <n v="0.72944623414634147" u="1"/>
        <n v="0.73996913387368424" u="1"/>
        <n v="0.17384785" u="1"/>
        <n v="0.14667237899999999" u="1"/>
        <n v="0.70407667317073175" u="1"/>
        <n v="0.4913384615384615" u="1"/>
        <n v="0.36555653333009724" u="1"/>
        <n v="0.72651670588235295" u="1"/>
        <n v="0.15103505882352941" u="1"/>
        <n v="0.91442108380219134" u="1"/>
        <n v="0.94400078287368405" u="1"/>
        <n v="0.92842277777777782" u="1"/>
        <n v="0.81995277777777775" u="1"/>
        <n v="0.92902971078866847" u="1"/>
        <n v="0.59603174603174602" u="1"/>
        <n v="0.69759157894736845" u="1"/>
        <n v="0.32347058823529412" u="1"/>
        <n v="0.69833333333333336" u="1"/>
        <n v="0.9624913631428289" u="1"/>
        <n v="0.88761111111111113" u="1"/>
        <n v="0.96673576152403518" u="1"/>
        <n v="0.89722222222222225" u="1"/>
        <n v="0.68666666666666665" u="1"/>
        <n v="0.14369618399999953" u="1"/>
        <n v="0.85805942157733683" u="1"/>
        <n v="0.70178488372093029" u="1"/>
        <n v="0.97724040000000001" u="1"/>
        <n v="0.10966666666666666" u="1"/>
        <n v="0.66492263157894738" u="1"/>
        <n v="0.78776904651162794" u="1"/>
        <n v="0.75600000000000001" u="1"/>
        <n v="0.90612970091797451" u="1"/>
        <n v="0.98577777777777775" u="1"/>
        <n v="0.67941821666666669" u="1"/>
        <n v="0.8094858139534884" u="1"/>
        <n v="0.33260662299999888" u="1"/>
        <n v="0.89750093023255817" u="1"/>
        <n v="0.97461522222221419" u="1"/>
        <n v="0.76783001673684204" u="1"/>
        <n v="0.33261623529412043" u="1"/>
        <n v="0.92054952777777743" u="1"/>
        <n v="0.60077688873684221" u="1"/>
        <n v="0.669047619047619" u="1"/>
        <n v="0.71344444444444444" u="1"/>
        <n v="0.93095260487804854" u="1"/>
        <n v="0.5337777777777778" u="1"/>
        <n v="0.41476294999999797" u="1"/>
        <n v="0.92525549333333323" u="1"/>
        <n v="0.62523076923076926" u="1"/>
        <n v="0.86962096585365845" u="1"/>
        <n v="0.5838888888888889" u="1"/>
        <n v="0.68255555555555558" u="1"/>
        <n v="0.41476294999999824" u="1"/>
        <n v="0.52962556666666649" u="1"/>
        <n v="0.71636509302325579" u="1"/>
        <n v="0.98643391219512189" u="1"/>
        <n v="0.70177777777777772" u="1"/>
        <n v="0.93155555555555558" u="1"/>
        <n v="0.82848743611111153" u="1"/>
        <n v="0.75188888888888894" u="1"/>
        <n v="0.80148148148148146" u="1"/>
        <n v="0.57222222222222219" u="1"/>
        <n v="0.92019229333333341" u="1"/>
        <n v="0.10039955199999995" u="1"/>
        <n v="0.80200000000000005" u="1"/>
        <n v="0.18159517647058823" u="1"/>
        <n v="0.92600736842105258" u="1"/>
        <n v="0.92093574178264737" u="1"/>
        <n v="0.35909301439805835" u="1"/>
        <n v="0.59215421052631578" u="1"/>
        <n v="0.99692658888888863" u="1"/>
        <n v="0.17079288999999986" u="1"/>
        <n v="0.97" u="1"/>
        <n v="0.9108393600000001" u="1"/>
        <n v="0.56055555555555558" u="1"/>
        <n v="0.61066666666666669" u="1"/>
        <n v="0.17079289000000025" u="1"/>
        <n v="0.79994444444444446" u="1"/>
        <n v="0.17079289000000042" u="1"/>
        <n v="0.79839277777777773" u="1"/>
        <n v="0.82947631578947367" u="1"/>
        <n v="0.61472418604651158" u="1"/>
        <n v="0.96968760000000009" u="1"/>
        <n v="0.82877777777777772" u="1"/>
        <n v="0.4887907692307692" u="1"/>
        <n v="0.85189219999999988" u="1"/>
        <n v="0.44268461538461534" u="1"/>
        <n v="0.77087065365853658" u="1"/>
        <n v="0.50017463888888869" u="1"/>
        <n v="0.16153152941176468" u="1"/>
        <n v="0.88444237777777668" u="1"/>
        <n v="0.74070252682926829" u="1"/>
        <n v="0.90821692725263159" u="1"/>
        <n v="0.71173619512195119" u="1"/>
        <n v="0.94623166666666658" u="1"/>
        <n v="0.67807539682539686" u="1"/>
        <n v="0.13022712000000075" u="1"/>
        <n v="0.59116641666666658" u="1"/>
        <n v="0.71085486046511637" u="1"/>
        <n v="0.16268575399999999" u="1"/>
        <n v="0.78740027368421051" u="1"/>
        <n v="0.84338959601052643" u="1"/>
        <n v="0.51366437052631586" u="1"/>
        <n v="0.82082722222222215" u="1"/>
        <n v="0.43908575133980565" u="1"/>
        <n v="0.51074603333333324" u="1"/>
        <n v="0.46410464444444449" u="1"/>
        <n v="0.92201127639999991" u="1"/>
        <n v="0.53618128333333337" u="1"/>
        <n v="0.96989930232558141" u="1"/>
        <n v="0.38621538461538463" u="1"/>
        <n v="0.61813647243157888" u="1"/>
        <n v="0.33023058823529416" u="1"/>
        <n v="0.56722666666666666" u="1"/>
        <n v="0.63924887804878039" u="1"/>
        <n v="0.9385197365853658" u="1"/>
        <n v="0.28176052399999973" u="1"/>
        <n v="0.52385459999999995" u="1"/>
        <n v="0.73724212812160694" u="1"/>
        <n v="0.81008720930232558" u="1"/>
        <n v="0.83815053658536598" u="1"/>
        <n v="0.26890391999999802" u="1"/>
        <n v="0.95315169756097551" u="1"/>
        <n v="0.6333333333333333" u="1"/>
        <n v="0.81509396040598936" u="1"/>
        <n v="0.12139443" u="1"/>
        <n v="0.83101421052631586" u="1"/>
        <n v="0.91322222222222227" u="1"/>
        <n v="0.77070378047576749" u="1"/>
        <n v="0.80430526315789475" u="1"/>
        <n v="0.8322222222222222" u="1"/>
        <n v="0.93353534883720934" u="1"/>
        <n v="0.78306692682926826" u="1"/>
        <n v="0.80416543282992792" u="1"/>
        <n v="0.85144444444444445" u="1"/>
        <n v="0.94677408421052645" u="1"/>
        <n v="0.77610789473684205" u="1"/>
        <n v="0.97976507748494723" u="1"/>
        <n v="0.39738494383495138" u="1"/>
        <n v="0.96030966666666673" u="1"/>
        <n v="0.26411974999999804" u="1"/>
        <n v="0.67822633170731716" u="1"/>
        <n v="0.26411974999999821" u="1"/>
        <n v="0.8915294117647059" u="1"/>
        <n v="0.69099999999999995" u="1"/>
        <n v="0.97755819999999993" u="1"/>
        <n v="0.33452307692307692" u="1"/>
        <n v="0.87108873753824889" u="1"/>
        <n v="0.14033333333333334" u="1"/>
        <n v="0.66011111111111109" u="1"/>
        <n v="0.88001006315789465" u="1"/>
        <n v="0.84938888888888886" u="1"/>
        <n v="0.3664049529999997" u="1"/>
        <n v="0.9083080555555556" u="1"/>
        <n v="0.66972222222222222" u="1"/>
        <n v="7.9574139999999044E-2" u="1"/>
        <n v="0.97633360000000002" u="1"/>
        <n v="0.4133521399999987" u="1"/>
        <n v="0.67498999999999998" u="1"/>
        <n v="0.62168421052631584" u="1"/>
        <n v="0.73905555555555558" u="1"/>
        <n v="0.90922406315789472" u="1"/>
        <n v="0.7486666666666667" u="1"/>
        <n v="0.8746581052631579" u="1"/>
        <n v="0.76497388888888895" u="1"/>
        <n v="0.89744444444444449" u="1"/>
        <n v="0.8147270753133945" u="1"/>
        <n v="0.71777777777777774" u="1"/>
        <n v="0.34936800048543692" u="1"/>
        <n v="0.63897105263157894" u="1"/>
        <n v="0.70395789473684212" u="1"/>
        <n v="0.68034421052631588" u="1"/>
        <n v="0.83387222222222224" u="1"/>
        <n v="0.72892368421052622" u="1"/>
        <n v="0.86704175303523834" u="1"/>
        <n v="0.52592592592592591" u="1"/>
        <n v="0.88828300000000004" u="1"/>
        <n v="0.70722777777777779" u="1"/>
        <n v="0.75622222222222224" u="1"/>
        <n v="0.90050340538939888" u="1"/>
        <n v="0.61514069767441859" u="1"/>
        <n v="0.95133113953488369" u="1"/>
        <n v="0.95244277777777786" u="1"/>
        <n v="0.98424386666666663" u="1"/>
        <n v="0.60179558139534883" u="1"/>
        <n v="0.98051635789473701" u="1"/>
        <n v="0.66359528265263146" u="1"/>
        <n v="0.7230937500000002" u="1"/>
        <n v="0.6918922380667748" u="1"/>
        <n v="0.28250416999999806" u="1"/>
        <n v="0.70199999999999996" u="1"/>
        <n v="0.88906737566315808" u="1"/>
        <n v="0.50964278082051262" u="1"/>
        <n v="0.90968506666666671" u="1"/>
        <n v="0.86299476853222779" u="1"/>
        <n v="0.33249858823529727" u="1"/>
        <n v="0.81207918802130441" u="1"/>
        <n v="0.95539693333333342" u="1"/>
        <n v="0.89645642088638833" u="1"/>
        <n v="0.77133333333333332" u="1"/>
        <n v="0.95703607586315798" u="1"/>
        <n v="0.95748139534883725" u="1"/>
        <n v="0.51066666666666671" u="1"/>
        <n v="0.56630769230769229" u="1"/>
        <n v="0.76823000000000008" u="1"/>
        <n v="0.92991807324054876" u="1"/>
        <n v="0.96117395348837209" u="1"/>
        <n v="0.81459149834187516" u="1"/>
        <n v="0.93942750243902429" u="1"/>
        <n v="0.15096970588235295" u="1"/>
        <n v="0.47625443885128194" u="1"/>
        <n v="0.77888888888888885" u="1"/>
        <n v="0.11413250000000005" u="1"/>
        <n v="0.71147837209302323" u="1"/>
        <n v="0.17311288235294162" u="1"/>
        <n v="0.748" u="1"/>
        <n v="0.63034615384615389" u="1"/>
        <n v="0.9117814666666666" u="1"/>
        <n v="0.56833333333333336" u="1"/>
        <n v="0.4079076923076923" u="1"/>
        <n v="0.11733333333333333" u="1"/>
        <n v="0.93731361666666657" u="1"/>
        <n v="0.37641400199999803" u="1"/>
        <n v="0.76722222222222225" u="1"/>
        <n v="0.81710380866244603" u="1"/>
        <n v="0.616504756631579" u="1"/>
        <n v="0.41036923076923076" u="1"/>
        <n v="0.90701806336985491" u="1"/>
        <n v="0.77906666666666669" u="1"/>
        <n v="0.6771547317073171" u="1"/>
        <n v="0.92862023255813952" u="1"/>
        <n v="0.67101488235298878" u="1"/>
        <n v="0.56715207810526336" u="1"/>
        <n v="0.127" u="1"/>
        <n v="0.81690116279069769" u="1"/>
        <n v="0.75994733888888921" u="1"/>
        <n v="0.85577777777777775" u="1"/>
        <n v="0.54862803165263174" u="1"/>
        <n v="0.16711311764705883" u="1"/>
        <n v="0.83891101463414641" u="1"/>
        <n v="0.31777777777777777" u="1"/>
        <n v="0.86084210526315785" u="1"/>
        <n v="0.38995317647058819" u="1"/>
        <n v="0.88116331707317064" u="1"/>
        <n v="0.880533488372093" u="1"/>
        <n v="0.79400000000000004" u="1"/>
        <n v="0.6130852631578948" u="1"/>
        <n v="0.84411111111111115" u="1"/>
        <n v="0.83120292115789463" u="1"/>
        <n v="0.66444444444444439" u="1"/>
        <n v="0.71276280722534791" u="1"/>
        <n v="0.56098257777777782" u="1"/>
        <n v="0.86333333333333329" u="1"/>
        <n v="0.11531106200000033" u="1"/>
        <n v="0.90297107886684436" u="1"/>
        <n v="0.10076864000000021" u="1"/>
        <n v="0.83244444444444443" u="1"/>
        <n v="0.84905266666666646" u="1"/>
        <n v="0.90320611111111104" u="1"/>
        <n v="0.92182410423452765" u="1"/>
        <n v="0.84479790697674417" u="1"/>
        <n v="0.98163534883720938" u="1"/>
        <n v="0.59153692307692307" u="1"/>
        <n v="0.88168008421052624" u="1"/>
        <n v="0.63957631578947371" u="1"/>
        <n v="0.55771052941176469" u="1"/>
        <n v="0.64249348837209308" u="1"/>
        <n v="0.17673403000000001" u="1"/>
        <n v="0.7807247368421053" u="1"/>
        <n v="0.92100000000000004" u="1"/>
        <n v="0.57920874155789481" u="1"/>
        <n v="0.81191157894736843" u="1"/>
        <n v="0.84961111111111109" u="1"/>
        <n v="0.61786906976744183" u="1"/>
        <n v="0.83701999999999999" u="1"/>
        <n v="0.86883333333333335" u="1"/>
        <n v="0.81799627906976746" u="1"/>
        <n v="0.96905555555555556" u="1"/>
        <n v="0.9177771197315171" u="1"/>
        <n v="0.99952941176470589" u="1"/>
        <n v="0.93021052631578949" u="1"/>
        <n v="0.9933280000000001" u="1"/>
        <n v="0.1365133669999995" u="1"/>
        <n v="0.96050273170731715" u="1"/>
        <n v="0.88275894736842131" u="1"/>
        <n v="0.16524488235294116" u="1"/>
        <n v="0.71799999999999997" u="1"/>
        <n v="0.59927269444444442" u="1"/>
        <n v="0.63492063492063489" u="1"/>
        <n v="0.88318452682926818" u="1"/>
        <n v="0.6559775000000001" u="1"/>
        <n v="0.6669627874839601" u="1"/>
        <n v="0.11272644000000012" u="1"/>
        <n v="0.50744444444444448" u="1"/>
        <n v="0.70239882926829267" u="1"/>
        <n v="0.82795380515250228" u="1"/>
        <n v="0.87403558139534887" u="1"/>
        <n v="0.79492263157894738" u="1"/>
        <n v="0.37529137330097079" u="1"/>
        <n v="0.90606773333333335" u="1"/>
        <n v="0.93816751111111119" u="1"/>
        <n v="0.41266153846153847" u="1"/>
        <n v="0.70042443983812064" u="1"/>
        <n v="0.36125965399029131" u="1"/>
        <n v="0.87834412631578918" u="1"/>
        <n v="0.59301368421052636" u="1"/>
        <n v="0.19792388235294117" u="1"/>
        <n v="0.6754444444444444" u="1"/>
        <n v="0.72555555555555551" u="1"/>
        <n v="0.99600317222222234" u="1"/>
        <n v="0.69466666666666665" u="1"/>
        <n v="0.11373479999999994" u="1"/>
        <n v="0.91373013522850655" u="1"/>
        <n v="0.70427777777777778" u="1"/>
        <n v="0.75955972747368417" u="1"/>
        <n v="0.11066666666666666" u="1"/>
        <n v="0.71388888888888891" u="1"/>
        <n v="0.84468444444444446" u="1"/>
        <n v="0.94366666666666665" u="1"/>
        <n v="0.80326315789473679" u="1"/>
        <n v="0.5033333333333333" u="1"/>
        <n v="0.61292000000000002" u="1"/>
        <n v="0.73311111111111116" u="1"/>
        <n v="0.83037069767441862" u="1"/>
        <n v="0.47092923076923077" u="1"/>
        <n v="0.7054488888888889" u="1"/>
        <n v="0.96531140000000004" u="1"/>
        <n v="0.52950417368421054" u="1"/>
        <n v="0.73121578947368426" u="1"/>
        <n v="0.57266666666666666" u="1"/>
        <n v="0.73065160975609755" u="1"/>
        <n v="0.85736847300365215" u="1"/>
        <n v="0.67185185185185181" u="1"/>
        <n v="0.87197709999012929" u="1"/>
        <n v="0.5417777777777778" u="1"/>
        <n v="0.77084578947368421" u="1"/>
        <n v="0.7982644440842106" u="1"/>
        <n v="0.8908301253578127" u="1"/>
        <n v="0.85403833333333334" u="1"/>
        <n v="0.47017470588236987" u="1"/>
        <n v="0.7406666666666667" u="1"/>
        <n v="0.90543875234428983" u="1"/>
        <n v="0.83127777777777778" u="1"/>
        <n v="0.56100000000000005" u="1"/>
        <n v="0.8956007707317073" u="1"/>
        <n v="0.61111111111111116" u="1"/>
        <n v="0.52866186111111102" u="1"/>
        <n v="0.39704189174757293" u="1"/>
        <n v="0.82356372093023256" u="1"/>
        <n v="0.79074894736842105" u="1"/>
        <n v="0.71002253528421055" u="1"/>
        <n v="0.55256000000000005" u="1"/>
        <n v="0.81102139534883722" u="1"/>
        <n v="0.74315789473684213" u="1"/>
        <n v="0.9844265333333333" u="1"/>
        <n v="0.97799999999999998" u="1"/>
        <n v="0.46865256338461542" u="1"/>
        <n v="0.4945762735384614" u="1"/>
        <n v="0.1814775294117647" u="1"/>
        <n v="0.79833333333333334" u="1"/>
        <n v="0.58537497222222235" u="1"/>
        <n v="0.69789902439024387" u="1"/>
        <n v="0.58777777777777773" u="1"/>
        <n v="0.85555651162790702" u="1"/>
        <n v="0.60862788372093024" u="1"/>
        <n v="0.94234473684210518" u="1"/>
        <n v="0.78666666666666663" u="1"/>
        <n v="0.84002447368421063" u="1"/>
        <n v="0.45067692307692309" u="1"/>
        <n v="0.90139176784127928" u="1"/>
        <n v="0.58325232315789466" u="1"/>
        <n v="0.94051542439024383" u="1"/>
        <n v="0.80588888888888888" u="1"/>
        <n v="0.5793307151578948" u="1"/>
        <n v="0.91948978947368443" u="1"/>
        <n v="0.72592592592592597" u="1"/>
        <n v="0.98145888888888877" u="1"/>
        <n v="0.95039306666666667" u="1"/>
        <n v="0.87522222222222223" u="1"/>
        <n v="0.94576559999999998" u="1"/>
        <n v="0.87221254736842069" u="1"/>
        <n v="0.89821043157894742" u="1"/>
        <n v="0.95547166666666672" u="1"/>
        <n v="0.92726976585365839" u="1"/>
        <n v="0.7559555555555556" u="1"/>
        <n v="0.53060345555555566" u="1"/>
        <n v="0.34159682572815542" u="1"/>
        <n v="0.193262352941176" u="1"/>
        <n v="0.99585436842105279" u="1"/>
        <n v="0.10261988235294139" u="1"/>
        <n v="0.55731296666666663" u="1"/>
        <n v="0.86639092307692311" u="1"/>
        <n v="0.53209332777777796" u="1"/>
        <n v="0.88273615635179148" u="1"/>
        <n v="0.29553417647058922" u="1"/>
        <n v="0.39805144514563101" u="1"/>
        <n v="0.78564701463414632" u="1"/>
        <n v="0.70311111111111113" u="1"/>
        <n v="0.95396406315789484" u="1"/>
        <n v="0.77405981640509325" u="1"/>
        <n v="0.75899631578947369" u="1"/>
        <n v="0.78292555555555554" u="1"/>
        <n v="0.90200000000000002" u="1"/>
        <n v="0.85292993888888891" u="1"/>
        <n v="0.55639341666666653" u="1"/>
        <n v="0.94965946106011256" u="1"/>
        <n v="0.65077484947191788" u="1"/>
        <n v="0.51177777777777778" u="1"/>
        <n v="0.59150894736842108" u="1"/>
        <n v="0.95903933333333335" u="1"/>
        <n v="0.70867684210526316" u="1"/>
        <n v="0.62538670555555576" u="1"/>
        <n v="0.61848608210526312" u="1"/>
        <n v="0.95993069767441863" u="1"/>
        <n v="0.85944444444444446" u="1"/>
        <n v="0.38710018650485445" u="1"/>
        <n v="0.11266666666666666" u="1"/>
        <n v="0.5756775444444443" u="1"/>
        <n v="0.77928096736842134" u="1"/>
        <n v="0.80025940337224388" u="1"/>
        <n v="0.41954326085436894" u="1"/>
        <n v="0.76459517919999986" u="1"/>
        <n v="0.93246537768421045" u="1"/>
        <n v="0.85353206976744189" u="1"/>
        <n v="0.99580093023255822" u="1"/>
        <n v="0.9461910933333334" u="1"/>
        <n v="0.5612029932631577" u="1"/>
        <n v="0.93072466666666676" u="1"/>
        <n v="0.8186111948547885" u="1"/>
        <n v="0.63744008780487804" u="1"/>
        <n v="0.70861111111111108" u="1"/>
        <n v="0.49913846153846153" u="1"/>
        <n v="0.86087520000000006" u="1"/>
        <n v="0.71788736842105261" u="1"/>
        <n v="0.94278718604651157" u="1"/>
        <n v="0.66838116097560973" u="1"/>
        <n v="0.19667541176470629" u="1"/>
        <n v="0.76833333333333331" u="1"/>
        <n v="0.74099570986730523" u="1"/>
        <n v="0.5881481481481482" u="1"/>
        <n v="0.66532395348837214" u="1"/>
        <n v="0.9828087333333333" u="1"/>
        <n v="0.87661111111111112" u="1"/>
        <n v="0.25411332999999986" u="1"/>
        <n v="0.50766666666666671" u="1"/>
        <n v="0.6596711111111111" u="1"/>
        <n v="0.6759451189418616" u="1"/>
        <n v="0.90820773333333338" u="1"/>
        <n v="0.98154277777777776" u="1"/>
        <n v="0.99792715427894585" u="1"/>
        <n v="0.19410549000000074" u="1"/>
        <n v="8.1290639999998901E-2" u="1"/>
        <n v="0.87384804408421046" u="1"/>
        <n v="0.58322105263157897" u="1"/>
        <n v="0.75238145365853648" u="1"/>
        <n v="8.1290639999998984E-2" u="1"/>
        <n v="8.5870999999997963E-2" u="1"/>
        <n v="8.1290639999998998E-2" u="1"/>
        <n v="0.34588882352941175" u="1"/>
        <n v="0.52955097222222214" u="1"/>
        <n v="0.64650209302325579" u="1"/>
        <n v="0.64621065473684214" u="1"/>
        <n v="0.46633546111111113" u="1"/>
        <n v="0.85419930232558139" u="1"/>
        <n v="0.90385944131872475" u="1"/>
        <n v="0.82833432631578929" u="1"/>
        <n v="0.89188704016842113" u="1"/>
        <n v="0.52785677178947377" u="1"/>
        <n v="0.71008906341463418" u="1"/>
        <n v="0.94156549205409146" u="1"/>
        <n v="0.73333333333333328" u="1"/>
        <n v="0.28448611799999862" u="1"/>
        <n v="0.39924244300970874" u="1"/>
        <n v="0.80883966876184776" u="1"/>
        <n v="0.88173429280000004" u="1"/>
        <n v="0.93222222222222217" u="1"/>
        <n v="0.71494736842105266" u="1"/>
        <n v="0.70296296296296301" u="1"/>
        <n v="0.70748947368421045" u="1"/>
        <n v="0.70312611111111112" u="1"/>
        <n v="0.78812877073170728" u="1"/>
        <n v="0.62350631578947369" u="1"/>
        <n v="0.84749777909387025" u="1"/>
        <n v="0.13567812999999998" u="1"/>
        <n v="0.45760153846153845" u="1"/>
        <n v="0.52508627906976746" u="1"/>
        <n v="0.85174217747507652" u="1"/>
        <n v="0.82363209756097555" u="1"/>
        <n v="0.91087325581395351" u="1"/>
        <n v="0.34133333333333332" u="1"/>
        <n v="0.9836261999999999" u="1"/>
        <n v="0.85127604651162792" u="1"/>
        <n v="0.74088888888888893" u="1"/>
        <n v="0.86391930232558145" u="1"/>
        <n v="0.60673526315789472" u="1"/>
        <n v="0.75049999999999994" u="1"/>
        <n v="0.84111111111111114" u="1"/>
        <n v="0.63991999999999993" u="1"/>
        <n v="0.75006499999999998" u="1"/>
        <n v="0.55749975637894766" u="1"/>
        <n v="0.80321092222222212" u="1"/>
        <n v="0.9609637578947372" u="1"/>
        <n v="0.57566611111111099" u="1"/>
        <n v="6.7666666666666667E-2" u="1"/>
        <n v="0.75709105263157894" u="1"/>
        <n v="0.66626842105263162" u="1"/>
        <n v="7.6333333333333336E-2" u="1"/>
        <n v="0.9175007833333334" u="1"/>
        <n v="0.81777777777777783" u="1"/>
        <n v="0.51656533888888878" u="1"/>
        <n v="0.55626923076923074" u="1"/>
        <n v="0.91865807222222229" u="1"/>
        <n v="0.65273526315789465" u="1"/>
        <n v="0.8811568453262264" u="1"/>
        <n v="0.99534826666666665" u="1"/>
        <n v="0.73857611111111121" u="1"/>
        <n v="0.93532893333333333" u="1"/>
        <n v="0.96883210526315777" u="1"/>
        <n v="0.18190449999999775" u="1"/>
        <n v="0.84605435789473682" u="1"/>
        <n v="0.39458241176470593" u="1"/>
        <n v="0.92771232195121944" u="1"/>
        <n v="0.66352325581395355" u="1"/>
        <n v="0.106" u="1"/>
        <n v="0.13064720000000066" u="1"/>
        <n v="0.90407320000000002" u="1"/>
        <n v="0.90633333333333332" u="1"/>
        <n v="0.82533333333333336" u="1"/>
        <n v="0.80811375609756109" u="1"/>
        <n v="0.42696153378640783" u="1"/>
        <n v="0.97891263157894737" u="1"/>
        <n v="0.82055078472016585" u="1"/>
        <n v="0.91253265000000006" u="1"/>
        <n v="0.98154180238870792" u="1"/>
        <n v="0.59473684210526312" u="1"/>
        <n v="0.991578947368421" u="1"/>
        <n v="0.56480418888888884" u="1"/>
        <n v="0.3372222222222222" u="1"/>
        <n v="0.48554365425263157" u="1"/>
        <n v="0.68411111111111111" u="1"/>
        <n v="0.72970311219512185" u="1"/>
        <n v="0.75734888888888896" u="1"/>
        <n v="0.48677777777777775" u="1"/>
        <n v="0.84250000000000003" u="1"/>
        <n v="0.25695011764706677" u="1"/>
        <n v="0.89240701111111098" u="1"/>
        <n v="0.47133333333333333" u="1"/>
        <n v="0.60608018536585362" u="1"/>
        <n v="0.64734635121951212" u="1"/>
        <n v="0.74195150243902452" u="1"/>
        <n v="0.93581260555555568" u="1"/>
        <n v="0.85864579069767444" u="1"/>
        <n v="0.57884210526315794" u="1"/>
        <n v="0.15116576470588236" u="1"/>
        <n v="0.51998156030769216" u="1"/>
        <n v="0.90390925853658544" u="1"/>
        <n v="0.8165038002171553" u="1"/>
        <n v="9.889973999999993E-2" u="1"/>
        <n v="0.67211602325581399" u="1"/>
        <n v="0.60806157894736845" u="1"/>
        <n v="0.58021772547368433" u="1"/>
        <n v="0.63928695348837206" u="1"/>
        <n v="0.92808743333333243" u="1"/>
        <n v="0.86881847793899913" u="1"/>
        <n v="0.19743352941176504" u="1"/>
        <n v="0.73972222222222217" u="1"/>
        <n v="0.88849999999999996" u="1"/>
        <n v="0.7493333333333333" u="1"/>
        <n v="0.65623828333333334" u="1"/>
        <n v="0.18141217647058822" u="1"/>
        <n v="0.80944920000000009" u="1"/>
        <n v="0.88388798926315781" u="1"/>
        <n v="0.67794444444444446" u="1"/>
        <n v="0.83862100000000028" u="1"/>
        <n v="0.54678913888888891" u="1"/>
        <n v="0.80148555555555556" u="1"/>
        <n v="0.45620756231578935" u="1"/>
        <n v="0.68755555555555559" u="1"/>
        <n v="0.71769441860465111" u="1"/>
        <n v="0.78917053658536584" u="1"/>
        <n v="0.81090575609756099" u="1"/>
        <n v="0.84280526829268299" u="1"/>
        <n v="0.50788888888888883" u="1"/>
        <n v="0.7364649756097561" u="1"/>
        <n v="0.73766666666666669" u="1"/>
        <n v="0.88396833333333336" u="1"/>
        <n v="0.85968421052631583" u="1"/>
        <n v="0.95391144390243887" u="1"/>
        <n v="0.34196888235294115" u="1"/>
        <n v="0.96589277777777771" u="1"/>
        <n v="0.62149526315789472" u="1"/>
        <n v="0.68165694117652109" u="1"/>
        <n v="0.83097736842105263" u="1"/>
        <n v="0.75648021463414628" u="1"/>
        <n v="0.79406532222222204" u="1"/>
        <n v="0.3725429499999981" u="1"/>
        <n v="0.89268589036842105" u="1"/>
        <n v="0.6855" u="1"/>
        <n v="0.75628673170731719" u="1"/>
        <n v="0.67312581395348836" u="1"/>
        <n v="0.60337526315789469" u="1"/>
        <n v="0.98760493333333332" u="1"/>
        <n v="0.84587944444444441" u="1"/>
        <n v="0.88362451880367188" u="1"/>
        <n v="0.9556452527777769" u="1"/>
        <n v="0.93260571388888824" u="1"/>
        <n v="0.75706666666666667" u="1"/>
        <n v="0.21378133999999982" u="1"/>
        <n v="0.76444444444444448" u="1"/>
        <n v="0.69521372093023248" u="1"/>
        <n v="0.62102578947368425" u="1"/>
        <n v="9.0666666666666673E-2" u="1"/>
        <n v="0.68962047804878057" u="1"/>
        <n v="0.97379311578947358" u="1"/>
        <n v="0.21993024999999833" u="1"/>
        <n v="0.84952666666666665" u="1"/>
        <n v="0.18031799300000123" u="1"/>
        <n v="0.96030492631578968" u="1"/>
        <n v="0.61849981852631564" u="1"/>
        <n v="0.21933402941176761" u="1"/>
        <n v="0.80288888888888887" u="1"/>
        <n v="9.9333333333333329E-2" u="1"/>
        <n v="0.27636829411764707" u="1"/>
        <n v="0.97165463055555568" u="1"/>
        <n v="0.64213708333333352" u="1"/>
        <n v="0.80255814634146339" u="1"/>
        <n v="0.16382167647058438" u="1"/>
        <n v="0.79550630769230768" u="1"/>
        <n v="0.93281922777777782" u="1"/>
        <n v="0.71858651663211925" u="1"/>
        <n v="0.87533313591945516" u="1"/>
        <n v="0.88826488372093027" u="1"/>
        <n v="0.66970369767441862" u="1"/>
        <n v="0.58066666666666666" u="1"/>
        <n v="0.59756421052631581" u="1"/>
        <n v="0.29390344799999962" u="1"/>
        <n v="0.4927757111111114" u="1"/>
        <n v="0.5441159888888889" u="1"/>
        <n v="0.38712350761165065" u="1"/>
        <n v="0.15767094600000001" u="1"/>
        <n v="0.19301399999999996" u="1"/>
        <n v="0.9465008390089823" u="1"/>
        <n v="0.94867227317073166" u="1"/>
        <n v="0.78762466944444476" u="1"/>
        <n v="0.9653538643766657" u="1"/>
        <n v="0.81774526315789475" u="1"/>
        <n v="0.75071823414634131" u="1"/>
        <n v="0.97996249136314284" u="1"/>
        <n v="0.94224799999999986" u="1"/>
        <n v="0.83782449906228407" u="1"/>
        <n v="0.4952452088820512" u="1"/>
        <n v="0.7861978947368421" u="1"/>
        <n v="0.93100576000000002" u="1"/>
        <n v="0.8372222222222222" u="1"/>
        <n v="0.69636052631578949" u="1"/>
        <n v="0.82141464105263162" u="1"/>
        <n v="0.59774399873684214" u="1"/>
        <n v="0.51923076923076927" u="1"/>
        <n v="0.84683333333333333" u="1"/>
        <n v="0.10797575399999984" u="1"/>
        <n v="0.62666666666666671" u="1"/>
        <n v="0.90474780377060504" u="1"/>
        <n v="0.36474811764706333" u="1"/>
        <n v="0.79329526315789478" u="1"/>
        <n v="0.50443297777777785" u="1"/>
        <n v="0.85923036895789495" u="1"/>
        <n v="0.99258232558139536" u="1"/>
        <n v="0.63090105263157903" u="1"/>
        <n v="0.99346133333333331" u="1"/>
        <n v="0.45467692307692309" u="1"/>
        <n v="0.95320584390243879" u="1"/>
        <n v="0.88527777777777783" u="1"/>
        <n v="0.84458113888888897" u="1"/>
        <n v="0.95706248149244888" u="1"/>
        <n v="0.56812937777777761" u="1"/>
        <n v="0.61932093023255808" u="1"/>
        <n v="0.81388888888888888" u="1"/>
        <n v="0.74891843902439026" u="1"/>
        <n v="0.92381581395348833" u="1"/>
        <n v="0.86399999999999999" u="1"/>
        <n v="0.80821736842105263" u="1"/>
        <n v="0.83377751455927351" u="1"/>
        <n v="0.8789012315789474" u="1"/>
        <n v="0.87361111111111112" u="1"/>
        <n v="0.82792531111111101" u="1"/>
        <n v="0.71464213658536591" u="1"/>
        <n v="0.79788345461052634" u="1"/>
        <n v="0.64030146341463412" u="1"/>
        <n v="0.88609219228111735" u="1"/>
        <n v="0.90070081926759449" u="1"/>
        <n v="0.14430018399999939" u="1"/>
        <n v="0.9525555555555556" u="1"/>
        <n v="0.45600000000000002" u="1"/>
        <n v="0.87155555555555553" u="1"/>
        <n v="0.14430018399999953" u="1"/>
        <n v="0.86563091707317052" u="1"/>
        <n v="0.73238888888888887" u="1"/>
        <n v="0.91955384463527789" u="1"/>
        <n v="0.74148148148148152" u="1"/>
        <n v="0.92334166666666673" u="1"/>
        <n v="0.78876111111111114" u="1"/>
        <n v="0.95515500000000009" u="1"/>
        <n v="0.66100000000000003" u="1"/>
        <n v="0.71111111111111114" u="1"/>
        <n v="0.87655930232558132" u="1"/>
        <n v="0.38098686399999976" u="1"/>
        <n v="0.92580479999999998" u="1"/>
        <n v="0.23159541176470588" u="1"/>
        <n v="0.91" u="1"/>
        <n v="0.68074074074074076" u="1"/>
        <n v="0.82973053005626296" u="1"/>
        <n v="0.94348833333333337" u="1"/>
        <n v="0.8443391570427401" u="1"/>
        <n v="0.86195165000000007" u="1"/>
        <n v="0.53821538461538465" u="1"/>
        <n v="0.105" u="1"/>
        <n v="0.62691418604651172" u="1"/>
        <n v="0.8820452077781068" u="1"/>
        <n v="0.22792493500000027" u="1"/>
        <n v="0.40510539233009724" u="1"/>
        <n v="0.89665383476458393" u="1"/>
        <n v="0.75451584246372516" u="1"/>
        <n v="0.79210789473684207" u="1"/>
        <n v="0.42559230769230766" u="1"/>
        <n v="0.11366666666666667" u="1"/>
        <n v="0.33732348699999876" u="1"/>
        <n v="0.27991023529411763" u="1"/>
        <n v="0.71291538461538462" u="1"/>
        <n v="0.90957348837209306" u="1"/>
        <n v="0.70699999999999996" u="1"/>
        <n v="0.40417792475728154" u="1"/>
        <n v="0.13312811764705881" u="1"/>
        <n v="0.1870673823529399" u="1"/>
        <n v="0.90188235294117647" u="1"/>
        <n v="0.65008390089823309" u="1"/>
        <n v="0.81961611898301678" u="1"/>
        <n v="0.86605961052631586" u="1"/>
        <n v="0.79463393023255813" u="1"/>
        <n v="0.64111270588239655" u="1"/>
        <n v="0.74378947368421056" u="1"/>
        <n v="0.64207790329473702" u="1"/>
        <n v="0.80714356978948421" u="1"/>
        <n v="0.74027322869473688" u="1"/>
        <n v="0.87375382489389009" u="1"/>
        <n v="0.71455555555555561" u="1"/>
        <n v="0.73161583259303131" u="1"/>
        <n v="0.26967367499999839" u="1"/>
        <n v="0.9013035381750466" u="1"/>
        <n v="0.68212594117652026" u="1"/>
        <n v="0.504" u="1"/>
        <n v="0.30154387000000005" u="1"/>
        <n v="0.8880982666666668" u="1"/>
        <n v="0.78388888888888886" u="1"/>
        <n v="0.81218432777777771" u="1"/>
        <n v="0.92606850261573392" u="1"/>
        <n v="0.38234664871844665" u="1"/>
        <n v="0.82351316097560967" u="1"/>
        <n v="0.18002588235293948" u="1"/>
        <n v="0.66577894736842103" u="1"/>
        <n v="0.90317769661052638" u="1"/>
        <n v="0.79680734736842096" u="1"/>
        <n v="0.92130173333333332" u="1"/>
        <n v="0.98773851578947358" u="1"/>
        <n v="0.74140222222222218" u="1"/>
        <n v="0.95422707692307684" u="1"/>
        <n v="0.30909813953488374" u="1"/>
        <n v="0.96022095555555564" u="1"/>
        <n v="0.96012599999999992" u="1"/>
        <n v="0.65152209302325581" u="1"/>
        <n v="0.48887909990769229" u="1"/>
        <n v="0.80105555555555552" u="1"/>
        <n v="0.63907631578947377" u="1"/>
        <n v="0.42555555555555558" u="1"/>
        <n v="0.30023529411764704" u="1"/>
        <n v="0.76221052631578945" u="1"/>
        <n v="0.84248000000000001" u="1"/>
        <n v="0.90316849274503996" u="1"/>
        <n v="0.6966947058823999" u="1"/>
        <n v="0.85376611111111111" u="1"/>
        <n v="0.90741289112624612" u="1"/>
        <n v="0.69431834883720933" u="1"/>
        <n v="0.89444125853658518" u="1"/>
        <n v="0.72373540856031127" u="1"/>
        <n v="0.99670588235294122" u="1"/>
        <n v="0.83576881395348834" u="1"/>
        <n v="0.58743846153846158" u="1"/>
        <n v="0.59884005882356228" u="1"/>
        <n v="0.88651256111111154" u="1"/>
        <n v="0.73037885639634204" u="1"/>
        <n v="0.2142013399999998" u="1"/>
        <n v="0.9629395902439023" u="1"/>
        <n v="0.50999811666666672" u="1"/>
        <n v="0.52397692307692312" u="1"/>
        <n v="0.29882061699999984" u="1"/>
        <n v="0.86299892682926826" u="1"/>
        <n v="0.23289613199999995" u="1"/>
        <n v="0.95921560000000006" u="1"/>
        <n v="0.94684119999999994" u="1"/>
        <n v="0.54133308634871791" u="1"/>
        <n v="0.22251199999999691" u="1"/>
        <n v="0.81383744186046514" u="1"/>
        <n v="0.88396790697674421" u="1"/>
        <n v="0.89912150824202941" u="1"/>
        <n v="0.83917388888888889" u="1"/>
        <n v="0.83538888888888885" u="1"/>
        <n v="0.98640799866315787" u="1"/>
        <n v="0.83518478888888892" u="1"/>
        <n v="0.88549999999999995" u="1"/>
        <n v="0.93258316059618995" u="1"/>
        <n v="0.46777777777777779" u="1"/>
        <n v="0.7915793674548538" u="1"/>
        <n v="0.87824671219512196" u="1"/>
        <n v="0.93682755897739611" u="1"/>
        <n v="0.94120474444444457" u="1"/>
        <n v="0.79044516829533118" u="1"/>
        <n v="0.49498461538461541" u="1"/>
        <n v="0.79468956667653734" u="1"/>
        <n v="0.81411111111111112" u="1"/>
        <n v="0.95143618596387325" u="1"/>
        <n v="0.75305263157894742" u="1"/>
        <n v="0.86422222222222222" u="1"/>
        <n v="0.1459798469999993" u="1"/>
        <n v="0.916449511627907" u="1"/>
        <n v="0.86896077777777792" u="1"/>
        <n v="0.93362674418604652" u="1"/>
        <n v="0.88344444444444448" u="1"/>
        <n v="0.94670899512195128" u="1"/>
        <n v="0.71815800000007091" u="1"/>
        <n v="0.50443187222222197" u="1"/>
        <n v="0.83952860000000018" u="1"/>
        <n v="0.62830769230769234" u="1"/>
        <n v="0.94530346666666665" u="1"/>
        <n v="0.71312808780487791" u="1"/>
        <n v="0.11534554100000025" u="1"/>
        <n v="0.71338888888888885" u="1"/>
        <n v="0.69603631578947367" u="1"/>
        <n v="8.6211639999999451E-2" u="1"/>
        <n v="0.90266666666666662" u="1"/>
        <n v="0.84824421052631571" u="1"/>
        <n v="0.38259625999999991" u="1"/>
        <n v="0.64200000000000002" u="1"/>
        <n v="0.83639810000000014" u="1"/>
        <n v="0.89507452373901886" u="1"/>
        <n v="0.71924023255813962" u="1"/>
        <n v="0.65171941463414629" u="1"/>
        <n v="0.61336546341463416" u="1"/>
        <n v="0.88138888888888889" u="1"/>
        <n v="0.61055508888888887" u="1"/>
        <n v="0.31730588235294116" u="1"/>
        <n v="0.9285361760931794" u="1"/>
        <n v="0.71904619375436496" u="1"/>
        <n v="0.78798999999999997" u="1"/>
        <n v="0.90640768780487802" u="1"/>
        <n v="0.53166666666666662" u="1"/>
        <n v="0.62734210526315792" u="1"/>
        <n v="0.96485160465116271" u="1"/>
        <n v="0.69005555555555553" u="1"/>
        <n v="0.98085085381502324" u="1"/>
        <n v="0.58654911764708595" u="1"/>
        <n v="0.68906672093023258" u="1"/>
        <n v="0.52" u="1"/>
        <n v="0.81923128888888908" u="1"/>
        <n v="0.86904674418604644" u="1"/>
        <n v="0.98299820000000004" u="1"/>
        <n v="0.74994600000008249" u="1"/>
        <n v="0.96398160465116278" u="1"/>
        <n v="0.50938775620512822" u="1"/>
        <n v="0.8214326315789473" u="1"/>
        <n v="0.11859935294117294" u="1"/>
        <n v="0.11859935294117301" u="1"/>
        <n v="0.17549185" u="1"/>
        <n v="0.89026670526315765" u="1"/>
        <n v="0.11859935294117314" u="1"/>
        <n v="0.73811111111111116" u="1"/>
        <n v="0.90563616622248544" u="1"/>
        <n v="0.18513091099999934" u="1"/>
        <n v="0.83020834883720929" u="1"/>
        <n v="0.92448919159016874" u="1"/>
        <n v="0.85295221111111141" u="1"/>
        <n v="0.96347078333333291" u="1"/>
        <n v="0.74290023255813953" u="1"/>
        <n v="0.7456666666666667" u="1"/>
        <n v="0.83466587701115391" u="1"/>
        <n v="0.88744770000000017" u="1"/>
        <n v="0.154" u="1"/>
        <n v="0.29289476999999986" u="1"/>
        <n v="0.51556416694736851" u="1"/>
        <n v="0.93646978536585368" u="1"/>
        <n v="0.57837686787368403" u="1"/>
        <n v="0.94455555555555559" u="1"/>
        <n v="0.86812752936531434" u="1"/>
        <n v="0.63737184526315782" u="1"/>
        <n v="0.81499999999999995" u="1"/>
        <n v="0.729466023255814" u="1"/>
        <n v="0.51544615384615389" u="1"/>
        <n v="0.27528348699999888" u="1"/>
        <n v="0.73399999999999999" u="1"/>
        <n v="0.52039581111111122" u="1"/>
        <n v="0.79508702439024392" u="1"/>
        <n v="0.78411111111111109" u="1"/>
        <n v="0.90158918171947489" u="1"/>
        <n v="0.62192842105263157" u="1"/>
        <n v="0.84383333333333332" u="1"/>
        <n v="0.70642105263157895" u="1"/>
        <n v="0.93929523245484159" u="1"/>
        <n v="0.63616622248544075" u="1"/>
        <n v="0.33339584514563109" u="1"/>
        <n v="0.53120682352941173" u="1"/>
        <n v="0.13190929411764296" u="1"/>
        <n v="0.1974581764705883" u="1"/>
        <n v="0.97275688480900202" u="1"/>
        <n v="0.99538208333332678" u="1"/>
        <n v="0.80277695684210548" u="1"/>
        <n v="0.41086265126213589" u="1"/>
        <n v="0.44111111111111112" u="1"/>
        <n v="0.41267692307692311" u="1"/>
        <n v="0.8657198581052632" u="1"/>
        <n v="0.94785133333333338" u="1"/>
        <n v="0.14849410000000002" u="1"/>
        <n v="0.10033333333333333" u="1"/>
        <n v="0.60355999999999999" u="1"/>
        <n v="0.86515111111111109" u="1"/>
        <n v="0.87061111111111111" u="1"/>
        <n v="0.22013024999999828" u="1"/>
        <n v="0.74079557792912842" u="1"/>
        <n v="0.84430870000000025" u="1"/>
        <n v="0.89754219721646433" u="1"/>
        <n v="0.22013024999999836" u="1"/>
        <n v="0.60686923076923083" u="1"/>
        <n v="0.89975611111111109" u="1"/>
        <n v="0.94875055555555543" u="1"/>
        <n v="0.99202117894736841" u="1"/>
        <n v="0.66966666666666663" u="1"/>
        <n v="0.76038955121951235" u="1"/>
        <n v="0.80902953488372098" u="1"/>
        <n v="0.94985687493830817" u="1"/>
        <n v="0.86070730731707301" u="1"/>
        <n v="0.55478432222222218" u="1"/>
        <n v="0.62548461538461542" u="1"/>
        <n v="0.98719499999999993" u="1"/>
        <n v="8.5975588235292083E-2" u="1"/>
        <n v="0.42260621321025627" u="1"/>
        <n v="0.73255473684210526" u="1"/>
        <n v="0.55363339444444459" u="1"/>
        <n v="0.6960231578947369" u="1"/>
        <n v="0.99486910243902427" u="1"/>
        <n v="0.65800000000000003" u="1"/>
        <n v="0.63854462790697675" u="1"/>
        <n v="0.92036773333333333" u="1"/>
        <n v="0.62711111111111106" u="1"/>
        <n v="0.40736817310679613" u="1"/>
        <n v="0.92472378536585376" u="1"/>
        <n v="0.96813052631578944" u="1"/>
        <n v="0.96147893333333334" u="1"/>
        <n v="0.86093795000000006" u="1"/>
        <n v="0.16375382352940773" u="1"/>
        <n v="0.85180487804878047" u="1"/>
        <n v="0.87888658572697664" u="1"/>
        <n v="0.69855444444444437" u="1"/>
        <n v="0.57232529444444435" u="1"/>
        <n v="0.78020174634146333" u="1"/>
        <n v="0.52244666111111104" u="1"/>
        <n v="0.91234823808113708" u="1"/>
        <n v="0.99602959999999996" u="1"/>
        <n v="0.91615372777777782" u="1"/>
        <n v="0.96233679999999999" u="1"/>
        <n v="0.72158307692307688" u="1"/>
        <n v="0.95182720930232556" u="1"/>
        <n v="9.6695719999999999E-2" u="1"/>
        <n v="0.90013513684210522" u="1"/>
        <n v="0.98242002666666672" u="1"/>
        <n v="9.1812979999999836E-2" u="1"/>
        <n v="0.82252492350212225" u="1"/>
        <n v="0.97927154278945805" u="1"/>
        <n v="0.70399999999999996" u="1"/>
        <n v="0.68038693120126348" u="1"/>
        <n v="0.59789473684210526" u="1"/>
        <n v="0.85277777777777775" u="1"/>
        <n v="0.55092660555555539" u="1"/>
        <n v="0.8884994444444444" u="1"/>
        <n v="0.68272222222222223" u="1"/>
        <n v="0.59243789473684205" u="1"/>
        <n v="0.99543159999999997" u="1"/>
        <n v="0.61185185185185187" u="1"/>
        <n v="0.56446153846153846" u="1"/>
        <n v="0.54217299444444433" u="1"/>
        <n v="0.55405105263157894" u="1"/>
        <n v="0.64567765116279074" u="1"/>
        <n v="0.97402537634736863" u="1"/>
        <n v="0.89297919999999997" u="1"/>
        <n v="0.85050697674418596" u="1"/>
        <n v="0.89924141463414653" u="1"/>
        <n v="0.81423354061790543" u="1"/>
        <n v="0.78406906976744184" u="1"/>
        <n v="0.75" u="1"/>
        <n v="0.94356519999999999" u="1"/>
        <n v="0.58574736842105268" u="1"/>
        <n v="0.67861111111111116" u="1"/>
        <n v="0.79937511111111093" u="1"/>
        <n v="0.20343414800000079" u="1"/>
        <n v="0.96060999999999996" u="1"/>
        <n v="8.3596890999999257E-2" u="1"/>
        <n v="0.93718160000000006" u="1"/>
        <n v="0.524095561111111" u="1"/>
        <n v="0.73833333333333329" u="1"/>
        <n v="0.9168594105263157" u="1"/>
        <n v="0.41444444444444445" u="1"/>
        <n v="0.95592976744186042" u="1"/>
        <n v="0.97211764705882353" u="1"/>
        <n v="0.90591790697674424" u="1"/>
        <n v="0.93722222222222218" u="1"/>
        <n v="0.74505263157894741" u="1"/>
        <n v="0.94116959999999983" u="1"/>
        <n v="0.9188628960615931" u="1"/>
        <n v="0.95628154146341504" u="1"/>
        <n v="0.91212040000000005" u="1"/>
        <n v="0.95878666666666124" u="1"/>
        <n v="0.81018655611489487" u="1"/>
        <n v="0.79083390555555533" u="1"/>
        <n v="0.97566666666666668" u="1"/>
        <n v="0.84096806210526309" u="1"/>
        <n v="0.62244263999999982" u="1"/>
        <n v="0.92289393023255817" u="1"/>
        <n v="0.66592592592592592" u="1"/>
        <n v="0.88120434444444429" u="1"/>
        <n v="0.81167721837001305" u="1"/>
        <n v="0.94720260000000001" u="1"/>
        <n v="0.73422222222222222" u="1"/>
        <n v="0.77551108888888887" u="1"/>
        <n v="0.88486750526315783" u="1"/>
        <n v="0.87710986082321585" u="1"/>
        <n v="0.83444444444444443" u="1"/>
        <n v="0.87314537777777779" u="1"/>
        <n v="0.60293157894736849" u="1"/>
        <n v="0.75772708333333338" u="1"/>
        <n v="0.79105263157894734" u="1"/>
        <n v="0.22816186599999824" u="1"/>
        <n v="0.28957855699999863" u="1"/>
        <n v="0.96689219512195113" u="1"/>
        <n v="0.99919977894736856" u="1"/>
        <n v="0.74969764705890707" u="1"/>
        <n v="0.81418952869058381" u="1"/>
        <n v="0.77266666666666661" u="1"/>
        <n v="0.76903023255813951" u="1"/>
        <n v="0.84199999999999997" u="1"/>
        <n v="0.53122222222222226" u="1"/>
        <n v="0.53573539444444451" u="1"/>
        <n v="0.82860106473684214" u="1"/>
        <n v="0.67742893333333332" u="1"/>
        <n v="0.59139862439024382" u="1"/>
        <n v="0.95588235294117652" u="1"/>
        <n v="0.22736921200000026" u="1"/>
        <n v="0.99815786666666673" u="1"/>
        <n v="0.33234509456310685" u="1"/>
        <n v="0.85845424933372816" u="1"/>
        <n v="0.56722620652631572" u="1"/>
        <n v="0.97284999999999999" u="1"/>
        <n v="0.29877886999999986" u="1"/>
        <n v="0.93084678333333348" u="1"/>
        <n v="0.72354111764712814" u="1"/>
        <n v="0.78225526315789473" u="1"/>
        <n v="0.99833333333333329" u="1"/>
        <n v="0.57463157894736838" u="1"/>
        <n v="0.93625760000000002" u="1"/>
        <n v="0.38691435294117649" u="1"/>
        <n v="0.5972982352941284" u="1"/>
        <n v="0.61133777777777776" u="1"/>
        <n v="0.70336842105263153" u="1"/>
        <n v="0.71206631578947366" u="1"/>
        <n v="0.65876052631578952" u="1"/>
        <n v="0.88887315789473687" u="1"/>
        <n v="0.78189473684210531" u="1"/>
        <n v="0.77878035294126724" u="1"/>
        <n v="0.76761892682926824" u="1"/>
        <n v="0.13171582352941216" u="1"/>
        <n v="0.85440726483071761" u="1"/>
        <n v="0.82622222222222219" u="1"/>
        <n v="0.20054017999999962" u="1"/>
        <n v="0.86901589181719474" u="1"/>
        <n v="0.98160346666666665" u="1"/>
        <n v="0.20054017999999968" u="1"/>
        <n v="0.28070486000000011" u="1"/>
        <n v="0.68368548333333334" u="1"/>
        <n v="0.97720653333333329" u="1"/>
        <n v="0.87876330555555571" u="1"/>
        <n v="0.46800000000000003" u="1"/>
        <n v="0.89355506666666651" u="1"/>
        <n v="0.90247754417135528" u="1"/>
        <n v="0.95803360555555461" u="1"/>
        <n v="0.86688617777777788" u="1"/>
        <n v="0.76033955187049651" u="1"/>
        <n v="0.90669079999999991" u="1"/>
        <n v="0.45992942547368426" u="1"/>
        <n v="0.75376175609756102" u="1"/>
        <n v="0.57428973010526319" u="1"/>
        <n v="0.50343024325263164" u="1"/>
        <n v="0.90947597894736842" u="1"/>
        <n v="0.84338888888888885" u="1"/>
        <n v="0.58729167222222234" u="1"/>
        <n v="0.81265422959234035" u="1"/>
        <n v="0.79198157894736843" u="1"/>
        <n v="0.89876777777777772" u="1"/>
        <n v="0.84611588194650089" u="1"/>
        <n v="0.99847469333333327" u="1"/>
        <n v="0.67635088235299301" u="1"/>
        <n v="0.82752557894736822" u="1"/>
        <n v="0.88619906976744189" u="1"/>
        <n v="0.44008647058823686" u="1"/>
        <n v="0.64296296296296296" u="1"/>
        <n v="0.42022906912621355" u="1"/>
        <n v="0.78528789473684202" u="1"/>
        <n v="0.9918950439024391" u="1"/>
        <n v="0.70866788235300848" u="1"/>
        <n v="0.71355369767441867" u="1"/>
        <n v="0.89843055966834473" u="1"/>
        <n v="0.11666666666666667" u="1"/>
        <n v="0.97295744186046507" u="1"/>
        <n v="0.58625000000000005" u="1"/>
        <n v="0.83710526315789469" u="1"/>
        <n v="0.48846523251282037" u="1"/>
        <n v="0.91066666666666662" u="1"/>
        <n v="0.98694842105263159" u="1"/>
        <n v="0.75610526315789472" u="1"/>
        <n v="0.40834660692232999" u="1"/>
        <n v="0.96043773333333338" u="1"/>
        <n v="0.74061111111111111" u="1"/>
        <n v="0.92988888888888888" u="1"/>
        <n v="0.88357108333333223" u="1"/>
        <n v="0.82124526829268307" u="1"/>
        <n v="0.93402702222222167" u="1"/>
        <n v="0.76944444444444449" u="1"/>
        <n v="0.83885144999999972" u="1"/>
        <n v="0.38597800728155335" u="1"/>
        <n v="0.6016815789473684" u="1"/>
        <n v="0.52800000000000002" u="1"/>
        <n v="0.75777777777777777" u="1"/>
        <n v="0.7737664827368419" u="1"/>
        <n v="0.7522455828644754" u="1"/>
        <n v="0.96095235915789434" u="1"/>
        <n v="0.91323660053301747" u="1"/>
        <n v="0.84734906976744184" u="1"/>
        <n v="0.89263579512195124" u="1"/>
        <n v="0.74611111111111106" u="1"/>
        <n v="0.94669825288717802" u="1"/>
        <n v="0.42279603747572825" u="1"/>
        <n v="0.51987997222222215" u="1"/>
        <n v="0.96130687987365515" u="1"/>
        <n v="0.97501720930232549" u="1"/>
        <n v="0.98550000000000004" u="1"/>
        <n v="0.94499999999999995" u="1"/>
        <n v="0.64331578947368417" u="1"/>
        <n v="0.82283262500000021" u="1"/>
        <n v="0.72656842105263153" u="1"/>
        <n v="0.76533333333333331" u="1"/>
        <n v="0.96631130731707315" u="1"/>
        <n v="0.99398861538461547" u="1"/>
        <n v="0.65394991111111123" u="1"/>
        <n v="0.73444444444444446" u="1"/>
        <n v="0.85701229444444438" u="1"/>
        <n v="0.82860818536585357" u="1"/>
        <n v="0.67377210526315789" u="1"/>
        <n v="0.94882719999999998" u="1"/>
        <n v="0.97409224444444431" u="1"/>
        <n v="0.98840296000000005" u="1"/>
        <n v="0.90494521764880076" u="1"/>
        <n v="0.40451538461538461" u="1"/>
        <n v="0.51467692307692314" u="1"/>
        <n v="0.57892307692307687" u="1"/>
        <n v="0.29275401399999984" u="1"/>
        <n v="0.99344627906976757" u="1"/>
        <n v="0.68560807222222231" u="1"/>
        <n v="0.97177777777777774" u="1"/>
        <n v="0.91870311219512191" u="1"/>
        <n v="0.94877213333333321" u="1"/>
        <n v="0.95280222222222211" u="1"/>
        <n v="0.61567111111111106" u="1"/>
        <n v="0.7921111111111111" u="1"/>
        <n v="0.93374562666666672" u="1"/>
        <n v="0.80051327608330869" u="1"/>
        <n v="0.85183333333333333" u="1"/>
        <n v="0.68494164878048791" u="1"/>
        <n v="7.166666666666667E-2" u="1"/>
        <n v="0.55776751273684211" u="1"/>
        <n v="0.63166666666666671" u="1"/>
        <n v="0.88156911442105257" u="1"/>
        <n v="0.67095325853658527" u="1"/>
        <n v="0.84458823529411764" u="1"/>
        <n v="0.8305555555555556" u="1"/>
        <n v="0.86596434444444437" u="1"/>
        <n v="0.6035722829268293" u="1"/>
        <n v="0.65062887777777789" u="1"/>
        <n v="0.16406185294117212" u="1"/>
        <n v="0.90089823314579009" u="1"/>
        <n v="0.83182811627906983" u="1"/>
        <n v="0.10133333333333333" u="1"/>
        <n v="0.40623076923076923" u="1"/>
        <n v="0.74588847804878033" u="1"/>
        <n v="0.7690454634146342" u="1"/>
        <n v="0.68103411764711785" u="1"/>
        <n v="0.93435988549995064" u="1"/>
        <n v="0.7008928571428571" u="1"/>
        <n v="0.57704463629473679" u="1"/>
        <n v="0.79646629158029814" u="1"/>
        <n v="0.88822222222222225" u="1"/>
        <n v="0.84343480000000026" u="1"/>
        <n v="0.38437561601941744" u="1"/>
        <n v="0.44888888888888889" u="1"/>
        <n v="0.88569881951219509" u="1"/>
        <n v="0.89870454444444448" u="1"/>
        <n v="0.82992794393445857" u="1"/>
        <n v="0.61399582352944004" u="1"/>
        <n v="0.99537266666666668" u="1"/>
        <n v="0.86106399999999994" u="1"/>
        <n v="0.725725951219512" u="1"/>
        <n v="0.8206053555555558" u="1"/>
        <n v="0.63070526315789477" u="1"/>
        <n v="0.90368635555555232" u="1"/>
        <n v="0.9427558139534884" u="1"/>
        <n v="0.87799822327509625" u="1"/>
        <n v="0.93072671578947364" u="1"/>
        <n v="0.52753239444444444" u="1"/>
        <n v="0.81889767222222243" u="1"/>
        <n v="0.89685124864277954" u="1"/>
        <n v="0.65349695699890253" u="1"/>
        <n v="0.91570427401046295" u="1"/>
        <n v="0.79179882926829293" u="1"/>
        <n v="0.73533333333333328" u="1"/>
        <n v="0.77356628170960418" u="1"/>
        <n v="0.99469279069767447" u="1"/>
        <n v="0.90462714146341461" u="1"/>
        <n v="0.90549693333333336" u="1"/>
        <n v="0.94916592636462338" u="1"/>
        <n v="0.71133790697674426" u="1"/>
        <n v="0.6528846153846154" u="1"/>
        <n v="0.67407407407407405" u="1"/>
        <n v="0.95344444444444443" u="1"/>
        <n v="0.82588095943144801" u="1"/>
        <n v="0.97488386666666649" u="1"/>
        <n v="0.39703522843689315" u="1"/>
        <n v="0.56892312846315785" u="1"/>
        <n v="0.78489741860465112" u="1"/>
        <n v="0.6557078947368421" u="1"/>
        <n v="0.70330770731707326" u="1"/>
        <n v="9.246183899999999E-2" u="1"/>
        <n v="0.50288600851282039" u="1"/>
        <n v="0.56002272222222205" u="1"/>
        <n v="0.75898253488372092" u="1"/>
        <n v="0.80828697674418604" u="1"/>
        <n v="8.844241500000001E-2" u="1"/>
        <n v="0.8769904947368421" u="1"/>
        <n v="0.89166666666666672" u="1"/>
        <n v="0.9023218315789473" u="1"/>
        <n v="0.71199999999999997" u="1"/>
        <n v="0.73181324647122692" u="1"/>
        <n v="0.79545255813953486" u="1"/>
        <n v="0.66317767441860465" u="1"/>
        <n v="0.93451587222222221" u="1"/>
        <n v="0.67417116279069766" u="1"/>
        <n v="0.69945767441860462" u="1"/>
        <n v="0.9116572895074524" u="1"/>
        <n v="0.64424603174603179" u="1"/>
        <n v="0.70144999999999991" u="1"/>
        <n v="0.76733512920283353" u="1"/>
        <n v="0.86925414093893949" u="1"/>
        <n v="0.39553695624271845" u="1"/>
        <n v="0.14266666666666666" u="1"/>
        <n v="0.29866250699999874" u="1"/>
        <n v="0.86059228292682932" u="1"/>
        <n v="0.88594944444444446" u="1"/>
        <n v="0.54367480392820522" u="1"/>
        <n v="0.76211906976744193" u="1"/>
        <n v="0.68766210526315785" u="1"/>
        <n v="0.41756823339805832" u="1"/>
        <n v="0.81925925925925924" u="1"/>
        <n v="0.68866666666666665" u="1"/>
        <n v="0.64952684210526312" u="1"/>
        <n v="0.73877777777777776" u="1"/>
        <n v="0.86273673684210528" u="1"/>
        <n v="0.71873684210526312" u="1"/>
        <n v="0.855295627282598" u="1"/>
        <n v="0.71315763498173923" u="1"/>
        <n v="0.8000598623166717" u="1"/>
        <n v="0.99515555555555546" u="1"/>
        <n v="0.49866666666666665" u="1"/>
        <n v="0.88875727963675843" u="1"/>
        <n v="0.90761030500444184" u="1"/>
        <n v="0.68893756097560976" u="1"/>
        <n v="0.9939595414634147" u="1"/>
        <n v="8.5999999999999993E-2" u="1"/>
        <n v="0.70756842105263151" u="1"/>
        <n v="0.53459860877894738" u="1"/>
        <n v="0.76555555555555554" u="1"/>
        <n v="0.95723135789473657" u="1"/>
        <n v="0.89164130000000008" u="1"/>
        <n v="0.81566666666666665" u="1"/>
        <n v="0.94103421052631564" u="1"/>
        <n v="0.53942610000000013" u="1"/>
        <n v="0.83239561741190404" u="1"/>
        <n v="0.7847777777777778" u="1"/>
        <n v="0.85050929444444456" u="1"/>
        <n v="0.77591539459243741" u="1"/>
        <n v="0.80400000000000005" u="1"/>
        <n v="0.97091086666666671" u="1"/>
        <n v="0.68859463414634137" u="1"/>
        <n v="0.82644720930232562" u="1"/>
        <n v="0.55276041666666664" u="1"/>
        <n v="0.91300080000000006" u="1"/>
        <n v="0.91817194748790842" u="1"/>
        <n v="0.82122647368421042" u="1"/>
        <n v="0.91362714966315783" u="1"/>
        <n v="0.4903764614736843" u="1"/>
        <n v="0.80662263157894731" u="1"/>
        <n v="0.42292238756923073" u="1"/>
        <n v="0.95421502105263201" u="1"/>
        <n v="0.56396502777777757" u="1"/>
        <n v="0.83689366315789471" u="1"/>
        <n v="0.88517574736842097" u="1"/>
        <n v="0.53991050555555564" u="1"/>
        <n v="0.57725384615384612" u="1"/>
        <n v="0.96265647222222273" u="1"/>
        <n v="0.70201210526315783" u="1"/>
        <n v="0.25881223529412645" u="1"/>
        <n v="0.65111111111111108" u="1"/>
        <n v="0.97958466666666666" u="1"/>
        <n v="0.85202497560975621" u="1"/>
        <n v="0.89049999999999996" u="1"/>
        <n v="0.86181028526305403" u="1"/>
        <n v="0.84614611596824441" u="1"/>
        <n v="0.85" u="1"/>
        <n v="0.71967229296219526" u="1"/>
        <n v="0.87641891224953117" u="1"/>
        <n v="0.89719936" u="1"/>
        <n v="0.60336789473684205" u="1"/>
        <n v="0.64267111111111108" u="1"/>
        <n v="0.95651013333333335" u="1"/>
        <n v="0.90972222222222221" u="1"/>
        <n v="0.93064466666666668" u="1"/>
        <n v="0.94722960975609749" u="1"/>
        <n v="0.86922222222222223" u="1"/>
        <n v="0.71576916097560972" u="1"/>
        <n v="0.45489499999999999" u="1"/>
        <n v="0.8477068166666667" u="1"/>
        <n v="0.41335861281553399" u="1"/>
        <n v="0.89747648837209304" u="1"/>
        <n v="0.67788888888888887" u="1"/>
        <n v="0.92443465116279067" u="1"/>
        <n v="0.89635930232558136" u="1"/>
        <n v="0.82666666666666666" u="1"/>
        <n v="0.67520052631578942" u="1"/>
        <n v="0.83891027539236007" u="1"/>
        <n v="0.62033279069767444" u="1"/>
        <n v="0.17286476470588233" u="1"/>
        <n v="0.85776330076004348" u="1"/>
        <n v="0.89600000000000002" u="1"/>
        <n v="0.63533333333333331" u="1"/>
        <n v="0.78283589588986036" u="1"/>
        <n v="0.73023393544566184" u="1"/>
        <n v="0.86511111111111116" u="1"/>
        <n v="0.54835688235296698" u="1"/>
        <n v="0.87483148970526314" u="1"/>
        <n v="0.97173242666666682" u="1"/>
        <n v="0.89122495311420391" u="1"/>
        <n v="0.50577777777777777" u="1"/>
        <n v="0.32955243799999884" u="1"/>
        <n v="0.42143532155339813" u="1"/>
        <n v="0.72429199024390234" u="1"/>
        <n v="0.76231578947368417" u="1"/>
        <n v="0.91007797848188732" u="1"/>
        <n v="0.70466666666666666" u="1"/>
        <n v="0.92468660546836445" u="1"/>
        <n v="0.25421173529412544" u="1"/>
        <n v="0.94405555555555554" u="1"/>
        <n v="0.90355555555555556" u="1"/>
        <n v="0.73473684210526313" u="1"/>
        <n v="0.80140163853518898" u="1"/>
        <n v="0.89733979512195128" u="1"/>
        <n v="0.44267657142857136" u="1"/>
        <n v="0.87462642926829259" u="1"/>
        <n v="0.15524494899999999" u="1"/>
        <n v="0.40722222222222221" u="1"/>
        <n v="0.79309888888888891" u="1"/>
        <n v="0.85337771705263166" u="1"/>
        <n v="0.78169443902439006" u="1"/>
        <n v="0.19919664999999981" u="1"/>
        <n v="0.37755577587378647" u="1"/>
        <n v="0.51854141176470592" u="1"/>
        <n v="0.91855777777777781" u="1"/>
        <n v="0.87054044186046509" u="1"/>
        <n v="0.19896067000000067" u="1"/>
        <n v="0.71157832395617415" u="1"/>
        <n v="0.93917647058823528" u="1"/>
        <n v="0.66173160465116287" u="1"/>
        <n v="0.78155555555555556" u="1"/>
        <n v="0.9646013961368417" u="1"/>
        <n v="0.109" u="1"/>
        <n v="0.88829622222222182" u="1"/>
        <n v="0.71016666666666661" u="1"/>
        <n v="0.57099999999999995" u="1"/>
        <n v="0.66480866666666683" u="1"/>
        <n v="0.72300444444444445" u="1"/>
        <n v="0.79233441860465115" u="1"/>
        <n v="0.90483797073170713" u="1"/>
        <n v="0.99212819512195127" u="1"/>
        <n v="0.11766666666666667" u="1"/>
        <n v="0.68888888888888888" u="1"/>
        <n v="0.2628503099999982" u="1"/>
        <n v="0.30591117000000007" u="1"/>
        <n v="0.76246860465116273" u="1"/>
        <n v="0.77851789473684208" u="1"/>
        <n v="0.5785555555555556" u="1"/>
        <n v="0.7075313394531636" u="1"/>
        <n v="0.80833333333333335" u="1"/>
        <n v="0.62814814814814812" u="1"/>
        <n v="0.84240858139534891" u="1"/>
        <n v="0.23048235294117647" u="1"/>
        <n v="0.8071213953488372" u="1"/>
        <n v="0.82730994146341452" u="1"/>
        <n v="0.63377105263157896" u="1"/>
        <n v="0.34031864705882353" u="1"/>
        <n v="0.98507359999999999" u="1"/>
        <n v="0.8327" u="1"/>
        <n v="9.9362640000000071E-2" u="1"/>
        <n v="0.60047736842105259" u="1"/>
        <n v="0.7252777777777778" u="1"/>
        <n v="0.9280828277777774" u="1"/>
        <n v="0.53846919073684218" u="1"/>
        <n v="0.79565093023255817" u="1"/>
        <n v="0.1924274100000001" u="1"/>
        <n v="0.68193953488372094" u="1"/>
        <n v="0.1302127058823534" u="1"/>
        <n v="0.7508729921181283" u="1"/>
        <n v="0.86675232558139537" u="1"/>
        <n v="0.7194649939894735" u="1"/>
        <n v="0.94137186046511623" u="1"/>
        <n v="0.96235293333333349" u="1"/>
        <n v="0.79926169809438297" u="1"/>
        <n v="0.76510799024390252" u="1"/>
        <n v="0.84137794886980555" u="1"/>
        <n v="0.92436050061052621" u="1"/>
        <n v="0.84472222222222226" u="1"/>
        <n v="0.89150267222222213" u="1"/>
        <n v="0.29726628999999866" u="1"/>
        <n v="0.86023097423748884" u="1"/>
        <n v="0.17804678200000001" u="1"/>
        <n v="0.77333333333333332" u="1"/>
        <n v="0.83560055555555557" u="1"/>
        <n v="0.17888428200000001" u="1"/>
        <n v="0.89369262659164939" u="1"/>
        <n v="0.73519000000000001" u="1"/>
        <n v="0.5287302792820513" u="1"/>
        <n v="0.51631729999999998" u="1"/>
        <n v="0.84266666666666667" u="1"/>
        <n v="0.91254565195933279" u="1"/>
        <n v="0.64839692307692309" u="1"/>
        <n v="0.92715427894580993" u="1"/>
        <n v="0.97892185555555566" u="1"/>
        <n v="0.84932300000000005" u="1"/>
        <n v="0.13333333333333333" u="1"/>
        <n v="0.32989070588235297" u="1"/>
        <n v="0.48113846153846157" u="1"/>
        <n v="0.58150954421052625" u="1"/>
        <n v="0.94600730431349322" u="1"/>
        <n v="0.91130251707317056" u="1"/>
        <n v="0.72672852439389402" u="1"/>
        <n v="0.80386931201263445" u="1"/>
        <n v="0.87307773333333327" u="1"/>
        <n v="0.88111111111111107" u="1"/>
        <n v="0.52074074074074073" u="1"/>
        <n v="0.58380514652631577" u="1"/>
        <n v="0.93977026666666663" u="1"/>
        <n v="8.6040941176468599E-2" u="1"/>
        <n v="0.62628968253968254" u="1"/>
        <n v="8.5687999999997932E-2" u="1"/>
        <n v="0.37359154999999972" u="1"/>
        <n v="8.5687999999997946E-2" u="1"/>
        <n v="0.37359154999999977" u="1"/>
        <n v="0.58563846153846155" u="1"/>
        <n v="0.67055555555555557" u="1"/>
        <n v="0.37359154999999988" u="1"/>
        <n v="0.80899627906976745" u="1"/>
        <n v="0.48" u="1"/>
        <n v="0.85346234444444447" u="1"/>
        <n v="0.37900907592233007" u="1"/>
        <n v="0.45908214126315788" u="1"/>
        <n v="0.92919346666666669" u="1"/>
        <n v="0.53099220000000014" u="1"/>
        <n v="0.69484210526315793" u="1"/>
        <n v="0.99602000000000002" u="1"/>
        <n v="0.41155105902912625" u="1"/>
        <n v="0.90849866745632213" u="1"/>
        <n v="0.91358883720930228" u="1"/>
        <n v="0.628" u="1"/>
        <n v="0.96364705882352941" u="1"/>
        <n v="0.77336842105263159" u="1"/>
        <n v="0.90788888888888886" u="1"/>
        <n v="0.85729687346858763" u="1"/>
        <n v="0.49922222222222223" u="1"/>
        <n v="0.99075306666666674" u="1"/>
        <n v="0.877" u="1"/>
        <n v="0.81443095449610103" u="1"/>
        <n v="0.68862459512195118" u="1"/>
        <n v="0.83563657747721254" u="1"/>
        <n v="0.83328397986378444" u="1"/>
        <n v="2.376E-2" u="1"/>
        <n v="0.93672222222222223" u="1"/>
        <n v="0.92372369756097561" u="1"/>
        <n v="0.54447886268717938" u="1"/>
        <n v="0.84159631578947369" u="1"/>
        <n v="0.4798026141052632" u="1"/>
        <n v="0.76807219512195124" u="1"/>
        <n v="0.84641258536585362" u="1"/>
        <n v="0.85213700523146774" u="1"/>
        <n v="0.42709296543689323" u="1"/>
        <n v="0.91376944444444441" u="1"/>
        <n v="0.68566666666666665" u="1"/>
        <n v="0.90800844210526321" u="1"/>
        <n v="0.15746932352940698" u="1"/>
        <n v="0.74346066528476951" u="1"/>
        <n v="0.48755555555555558" u="1"/>
        <n v="0.7048888888888889" u="1"/>
        <n v="0.57481481481481478" u="1"/>
        <n v="0.87797873170731722" u="1"/>
        <n v="0.67400000000000004" u="1"/>
        <n v="0.95856990243902429" u="1"/>
        <n v="0.9538888888888889" u="1"/>
        <n v="0.6964488888888889" u="1"/>
        <n v="0.155670215" u="1"/>
        <n v="0.8584082328421051" u="1"/>
        <n v="0.51511431666666674" u="1"/>
        <n v="0.97674408780487798" u="1"/>
        <n v="0.75539091707317063" u="1"/>
        <n v="0.66220238095238093" u="1"/>
        <n v="0.47647046511627905" u="1"/>
        <n v="0.79351037737894725" u="1"/>
        <n v="0.92213000000000001" u="1"/>
        <n v="0.91133333333333333" u="1"/>
        <n v="0.66520069767441858" u="1"/>
        <n v="0.93737573333333335" u="1"/>
        <n v="0.89879971578947382" u="1"/>
        <n v="0.9087188139534883" u="1"/>
        <n v="0.96144444444444443" u="1"/>
        <n v="0.38267692307692308" u="1"/>
        <n v="0.84544580000000014" u="1"/>
        <n v="0.5667969111111113" u="1"/>
        <n v="0.51788741263157878" u="1"/>
        <n v="0.65625" u="1"/>
        <n v="0.67311555555555558" u="1"/>
        <n v="0.38283552941176469" u="1"/>
        <n v="0.63458246631578952" u="1"/>
        <n v="0.80476330491032044" u="1"/>
        <n v="0.96741647174736867" u="1"/>
        <n v="0.77174838048780492" u="1"/>
        <n v="0.72" u="1"/>
        <n v="0.96043813333333339" u="1"/>
        <n v="0.91104773333333333" u="1"/>
        <n v="0.94392413333333325" u="1"/>
        <n v="0.66483894736842108" u="1"/>
        <n v="0.25849852941177337" u="1"/>
        <n v="0.967328003158622" u="1"/>
        <n v="0.9895288000000001" u="1"/>
        <n v="0.65925925925925921" u="1"/>
        <n v="0.74149456250623569" u="1"/>
        <n v="0.77058052631578955" u="1"/>
        <n v="0.87169950555555553" u="1"/>
        <n v="0.96628479444444448" u="1"/>
        <n v="0.79901932777777795" u="1"/>
        <n v="0.45877315178947364" u="1"/>
        <n v="0.92365923902439007" u="1"/>
        <n v="0.69169486046511619" u="1"/>
        <n v="0.72755555555555551" u="1"/>
        <n v="0.54788888888888887" u="1"/>
        <n v="0.8707580390243902" u="1"/>
        <n v="0.62109413658536583" u="1"/>
        <n v="0.95191626666666673" u="1"/>
        <n v="0.61055421052631575" u="1"/>
        <n v="0.80295092307692306" u="1"/>
        <n v="0.40907026415533976" u="1"/>
        <n v="0.90672194255256144" u="1"/>
        <n v="0.79812720930232561" u="1"/>
        <n v="0.91429116279069778" u="1"/>
        <n v="0.81611111111111112" u="1"/>
        <n v="0.29758306999999962" u="1"/>
        <n v="0.14085247058823558" u="1"/>
        <n v="0.69915789473684209" u="1"/>
        <n v="0.93473600000000001" u="1"/>
        <n v="0.15797069999999991" u="1"/>
        <n v="0.30810069767441861" u="1"/>
        <n v="0.73354882352941175" u="1"/>
        <n v="0.21808278500000008" u="1"/>
        <n v="0.35768869900970884" u="1"/>
        <n v="0.67157894736842105" u="1"/>
        <n v="0.9284879777777777" u="1"/>
        <n v="0.48648648648648651" u="1"/>
        <n v="0.9521611000000002" u="1"/>
        <n v="0.85460467870891321" u="1"/>
        <n v="0.55054362222222208" u="1"/>
        <n v="0.9824705882352941" u="1"/>
        <n v="0.86921330569539035" u="1"/>
        <n v="0.8133292709473684" u="1"/>
        <n v="0.97964705882352943" u="1"/>
        <n v="0.88338888888888889" u="1"/>
        <n v="0.9526409268292686" u="1"/>
        <n v="0.78859913333333331" u="1"/>
        <n v="0.90267495804955089" u="1"/>
        <n v="0.5822222222222222" u="1"/>
        <n v="0.85250000000000004" u="1"/>
        <n v="0.16180891000000083" u="1"/>
        <n v="0.76478136412989828" u="1"/>
        <n v="0.90412142222222258" u="1"/>
        <n v="0.92152798341723419" u="1"/>
        <n v="0.52896163888888903" u="1"/>
        <n v="0.87545790697674419" u="1"/>
        <n v="0.91742026666666665" u="1"/>
        <n v="0.59294999999999998" u="1"/>
        <n v="0.34568235294117644" u="1"/>
        <n v="0.96182797073170723" u="1"/>
        <n v="0.97659017003157911" u="1"/>
        <n v="0.89807550243902456" u="1"/>
        <n v="0.82833581395348843" u="1"/>
        <n v="0.99623428333333319" u="1"/>
        <n v="0.52914530000000015" u="1"/>
        <n v="0.1962479999999982" u="1"/>
        <n v="0.11413231199999946" u="1"/>
        <n v="0.1141323119999995" u="1"/>
        <n v="0.14640768000000043" u="1"/>
        <n v="0.11413231199999954" u="1"/>
        <n v="0.91277614634146365" u="1"/>
        <n v="0.11825952941176135" u="1"/>
        <n v="0.46677648333333321" u="1"/>
        <n v="0.66550380487804872" u="1"/>
        <n v="0.66992435294121655" u="1"/>
        <n v="0.89862797354654034" u="1"/>
        <n v="0.63483894736842106" u="1"/>
        <n v="0.69527697560975599" u="1"/>
        <n v="0.77129722222222219" u="1"/>
        <n v="0.66353579069767443" u="1"/>
        <n v="0.38444444444444442" u="1"/>
        <n v="0.49933333333333335" u="1"/>
        <n v="0.93208962590070077" u="1"/>
        <n v="0.79115789473684206" u="1"/>
        <n v="0.93633402428190704" u="1"/>
        <n v="0.78995163359984211" u="1"/>
        <n v="0.19624800000000001" u="1"/>
        <n v="0.67246974418604655" u="1"/>
        <n v="0.84633333333333338" u="1"/>
        <n v="0.64982581395348837" u="1"/>
        <n v="0.8559444444444444" u="1"/>
        <n v="0.14788426470587715" u="1"/>
        <n v="0.96297397073170754" u="1"/>
        <n v="0.73599999999999999" u="1"/>
        <n v="0.97692599999999996" u="1"/>
        <n v="0.78843414634146336" u="1"/>
        <n v="0.76136000000000004" u="1"/>
        <n v="0.37366284599999849" u="1"/>
        <n v="0.93999428888888881" u="1"/>
        <n v="0.38581525999999805" u="1"/>
        <n v="0.89458098904352978" u="1"/>
        <n v="0.5621926055555555" u="1"/>
        <n v="0.59339372093023257" u="1"/>
        <n v="0.40683076923076922" u="1"/>
        <n v="0.94269057655789468" u="1"/>
        <n v="0.86299007368421066" u="1"/>
        <n v="0.96276894736842089" u="1"/>
        <n v="0.40197757106796123" u="1"/>
        <n v="0.74678222222222224" u="1"/>
        <n v="0.25415944117647843" u="1"/>
        <n v="0.91386844210526319" u="1"/>
        <n v="0.54050100000000234" u="1"/>
        <n v="0.7420274418604651" u="1"/>
        <n v="0.89233333333333331" u="1"/>
        <n v="0.18509226470588053" u="1"/>
        <n v="0.81936630145099199" u="1"/>
        <n v="0.90194444444444444" u="1"/>
        <n v="0.76277777777777778" u="1"/>
        <n v="0.93135487039999998" u="1"/>
        <n v="0.27998906999999978" u="1"/>
        <n v="0.95074934444444426" u="1"/>
        <n v="0.5640095444444444" u="1"/>
        <n v="0.89161606315789455" u="1"/>
        <n v="0.18643138000000126" u="1"/>
        <n v="0.83704871736842101" u="1"/>
        <n v="0.98980572222222063" u="1"/>
        <n v="0.11832488235293773" u="1"/>
        <n v="0.52225814444444441" u="1"/>
        <n v="0.90763063157894719" u="1"/>
        <n v="0.72022222222222221" u="1"/>
        <n v="0.94103467368421023" u="1"/>
        <n v="0.96494777777777785" u="1"/>
        <n v="0.99317116279069773" u="1"/>
        <n v="0.77863325581395348" u="1"/>
        <n v="0.21806700000000001" u="1"/>
        <n v="0.70274400000000004" u="1"/>
        <n v="0.55925925925925923" u="1"/>
        <n v="0.14946778199999999" u="1"/>
        <n v="0.96986926111110938" u="1"/>
        <n v="0.83893812777777776" u="1"/>
        <n v="0.94018353170731683" u="1"/>
        <n v="0.71816666666666662" u="1"/>
        <n v="0.44181028273684203" u="1"/>
        <n v="0.4891311888888889" u="1"/>
        <n v="0.92003814736842104" u="1"/>
        <n v="0.79314435294117647" u="1"/>
        <n v="0.9616538" u="1"/>
        <n v="0.82173720930232552" u="1"/>
        <n v="0.14209522699999952" u="1"/>
        <n v="0.8501437361111106" u="1"/>
        <n v="0.52826397777777756" u="1"/>
        <n v="0.85660906976744178" u="1"/>
        <n v="0.95324968421052625" u="1"/>
        <n v="0.85302536768334813" u="1"/>
        <n v="0.58336578947368423" u="1"/>
        <n v="0.72189473684210526" u="1"/>
        <n v="0.46736852646153848" u="1"/>
        <n v="0.7254960023689665" u="1"/>
        <n v="0.41122001048543688" u="1"/>
        <n v="0.12966666666666668" u="1"/>
        <n v="0.98525369767441862" u="1"/>
        <n v="0.40333333333333332" u="1"/>
        <n v="0.93203495999999997" u="1"/>
        <n v="0.996" u="1"/>
        <n v="0.962081362410526" u="1"/>
        <n v="0.96816631578947365" u="1"/>
        <n v="0.54654573333333345" u="1"/>
        <n v="0.2133166499999998" u="1"/>
        <n v="0.71462975609756096" u="1"/>
        <n v="0.90317132222222218" u="1"/>
        <n v="0.60400263157894729" u="1"/>
        <n v="0.40593921999999993" u="1"/>
        <n v="0.86646305000000001" u="1"/>
        <n v="0.86387651162790691" u="1"/>
        <n v="0.35777777777777775" u="1"/>
        <n v="0.34127100000000204" u="1"/>
        <n v="0.82388888888888889" u="1"/>
        <n v="0.92538829473684214" u="1"/>
        <n v="0.25010818999999995" u="1"/>
        <n v="0.61333333333333329" u="1"/>
        <n v="0.9944354666666666" u="1"/>
        <n v="0.81222222222222218" u="1"/>
        <n v="0.90059999999999996" u="1"/>
        <n v="0.58352105263157894" u="1"/>
        <n v="0.47144615384615385" u="1"/>
        <n v="0.89734653333333336" u="1"/>
        <n v="0.68266666666666664" u="1"/>
        <n v="0.48343625901052617" u="1"/>
        <n v="0.91590168788865856" u="1"/>
        <n v="0.82678695010526304" u="1"/>
        <n v="0.87194444444444441" u="1"/>
        <n v="0.97515789473684211" u="1"/>
        <n v="9.1217079999999728E-2" u="1"/>
        <n v="0.67248842105263162" u="1"/>
        <n v="0.93051031487513569" u="1"/>
        <n v="0.34611111111111109" u="1"/>
        <n v="9.1217079999999798E-2" u="1"/>
        <n v="0.71869043902439023" u="1"/>
        <n v="0.82636770526315806" u="1"/>
        <n v="0.10778276470588263" u="1"/>
        <n v="0.29539403899999978" u="1"/>
        <n v="0.77241356097560976" u="1"/>
        <n v="0.32452307692307691" u="1"/>
        <n v="0.23977417647059415" u="1"/>
        <n v="0.82607837330964362" u="1"/>
        <n v="0.77636666666666665" u="1"/>
        <n v="0.69022222222222218" u="1"/>
        <n v="0.85520653658536583" u="1"/>
        <n v="0.3448412941176473" u="1"/>
        <n v="0.73453666092631575" u="1"/>
        <n v="0.70946994736842106" u="1"/>
        <n v="0.78680843832690017" u="1"/>
        <n v="0.70944444444444443" u="1"/>
        <n v="0.93922222222222218" u="1"/>
        <n v="0.9577411684210525" u="1"/>
        <n v="0.38907763446601945" u="1"/>
        <n v="0.75086368571710593" u="1"/>
        <n v="0.98082359999999991" u="1"/>
        <n v="0.49883076923076924" u="1"/>
        <n v="0.61846157894736842" u="1"/>
        <n v="0.92646333037212514" u="1"/>
        <n v="0.90413267222222238" u="1"/>
        <n v="0.92755555555555558" u="1"/>
        <n v="0.72121999999999997" u="1"/>
        <n v="0.83593785263157905" u="1"/>
        <n v="0.9069495157894738" u="1"/>
        <n v="0.89314790697674418" u="1"/>
        <n v="0.89666666666666661" u="1"/>
        <n v="0.98560277777777772" u="1"/>
        <n v="8.2333333333333328E-2" u="1"/>
        <n v="0.85616666666666663" u="1"/>
        <n v="0.62746945365853668" u="1"/>
        <n v="0.8281697441860465" u="1"/>
        <n v="0.91243248821052625" u="1"/>
        <n v="0.97164705882352942" u="1"/>
        <n v="0.53688892777777775" u="1"/>
        <n v="0.38833333333333331" u="1"/>
        <n v="0.73622222222222222" u="1"/>
        <n v="0.25537974999999813" u="1"/>
        <n v="0.75551395348837214" u="1"/>
        <n v="0.89653756111110705" u="1"/>
        <n v="0.91906906976744185" u="1"/>
        <n v="0.66347903888888893" u="1"/>
        <n v="0.85549304116079361" u="1"/>
        <n v="0.87010166814727075" u="1"/>
        <n v="0.93245733333333336" u="1"/>
        <n v="0.93380453333333324" u="1"/>
        <n v="0.22796674699999811" u="1"/>
        <n v="0.66502953488372096" u="1"/>
        <n v="0.94064627906976739" u="1"/>
        <n v="0.88895469351495415" u="1"/>
        <n v="0.94094126829268288" u="1"/>
        <n v="0.112" u="1"/>
        <n v="0.29266666666666669" u="1"/>
        <n v="0.51542318333333348" u="1"/>
        <n v="0.74512156097560955" u="1"/>
        <n v="0.93305555555555553" u="1"/>
        <n v="0.24547941176470589" u="1"/>
        <n v="0.92072576000000006" u="1"/>
        <n v="0.97236999999999996" u="1"/>
        <n v="0.94638796842105222" u="1"/>
        <n v="0.65143473684210529" u="1"/>
        <n v="0.39005674582524275" u="1"/>
        <n v="0.43072016694736831" u="1"/>
        <n v="0.418179687961165" u="1"/>
        <n v="0.99358404895864183" u="1"/>
        <n v="0.85713499999999998" u="1"/>
        <n v="0.59886535609756097" u="1"/>
        <n v="0.49533333333333335" u="1"/>
        <n v="0.82147657894736836" u="1"/>
        <n v="0.12258282199999999" u="1"/>
        <n v="0.55132116111111096" u="1"/>
        <n v="0.59173076923076928" u="1"/>
        <n v="0.64321206976744194" u="1"/>
        <n v="0.72425263157894737" u="1"/>
        <n v="0.74518252682926822" u="1"/>
        <n v="0.20281918199999965" u="1"/>
        <n v="0.56000000000000005" u="1"/>
        <n v="0.67004338589473666" u="1"/>
        <n v="0.76434720930232558" u="1"/>
        <n v="0.93297798835258117" u="1"/>
        <n v="0.62051210526315792" u="1"/>
        <n v="0.73371246133892043" u="1"/>
        <n v="0.62095423414634143" u="1"/>
        <n v="0.93261733684210513" u="1"/>
        <n v="0.69332368421052626" u="1"/>
        <n v="0.89482153055555524" u="1"/>
        <n v="0.71838888888888885" u="1"/>
        <n v="0.27801594799999835" u="1"/>
        <n v="0.8096930214194058" u="1"/>
        <n v="0.84979209302325587" u="1"/>
        <n v="0.34238169299999976" u="1"/>
        <n v="0.99220909333333329" u="1"/>
        <n v="0.86200769914124964" u="1"/>
        <n v="9.0177659999999105E-2" u="1"/>
        <n v="9.017765999999916E-2" u="1"/>
        <n v="0.96533333333333338" u="1"/>
        <n v="0.51676556666666673" u="1"/>
        <n v="0.61061485052631581" u="1"/>
        <n v="0.78156684210526317" u="1"/>
        <n v="0.24116320588235823" u="1"/>
        <n v="0.6426590034736841" u="1"/>
        <n v="0.89748666666666665" u="1"/>
        <n v="0.65272105263157898" u="1"/>
        <n v="0.72815308292682912" u="1"/>
        <n v="0.96452366111111076" u="1"/>
        <n v="0.67481481481481487" u="1"/>
        <n v="0.81631840555555568" u="1"/>
        <n v="0.89042066666666664" u="1"/>
        <n v="0.8300560465116279" u="1"/>
        <n v="0.88314331578947391" u="1"/>
        <n v="0.86830593888888885" u="1"/>
        <n v="0.94987746341463419" u="1"/>
        <n v="0.85796071463823909" u="1"/>
        <n v="0.14342412699999951" u="1"/>
        <n v="0.78568421052631576" u="1"/>
        <n v="0.61949638048780498" u="1"/>
        <n v="0.7894027512195122" u="1"/>
        <n v="0.67327777777777775" u="1"/>
        <n v="0.90906768421052653" u="1"/>
        <n v="0.22646288235294096" u="1"/>
        <n v="0.58565654999999994" u="1"/>
        <n v="0.76389300167801799" u="1"/>
        <n v="0.92488401934656006" u="1"/>
        <n v="0.34469424990291253" u="1"/>
        <n v="0.63784526315789469" u="1"/>
        <n v="0.97037441052631612" u="1"/>
        <n v="0.19492827400000004" u="1"/>
        <n v="0.87196146666666674" u="1"/>
        <n v="0.97289803888888893" u="1"/>
        <n v="0.47164615384615383" u="1"/>
        <n v="0.9451424842105266" u="1"/>
        <n v="0.73010839024390251" u="1"/>
        <n v="0.75094139534883719" u="1"/>
        <n v="0.99063096000000006" u="1"/>
        <n v="0.5157788166666667" u="1"/>
        <n v="0.65955555555555556" u="1"/>
        <n v="0.68018255813953488" u="1"/>
        <n v="0.37346866347572827" u="1"/>
        <n v="0.68631578947368421" u="1"/>
        <n v="0.14397782352941177" u="1"/>
        <n v="0.94532545263157874" u="1"/>
        <n v="0.63733093023255816" u="1"/>
        <n v="0.51962813648205119" u="1"/>
        <n v="0.82066925263157875" u="1"/>
        <n v="0.80774219295620076" u="1"/>
        <n v="0.82052487368421057" u="1"/>
        <n v="0.92777777777777781" u="1"/>
        <n v="0.92083703484354951" u="1"/>
        <n v="0.93112546666666662" u="1"/>
        <n v="0.90233175833333268" u="1"/>
        <n v="0.6671111111111111" u="1"/>
        <n v="0.77869904254269073" u="1"/>
        <n v="0.93544566183002664" u="1"/>
        <n v="0.66738300000000006" u="1"/>
        <n v="0.67109746182105268" u="1"/>
        <n v="0.72578953488372089" u="1"/>
        <n v="0.95429868719771005" u="1"/>
        <n v="0.72683333333333333" u="1"/>
        <n v="0.86317647058823532" u="1"/>
        <n v="0.51245925000000003" u="1"/>
        <n v="0.6907184615384615" u="1"/>
        <n v="0.7881083720930232" u="1"/>
        <n v="0.69305263157894736" u="1"/>
        <n v="0.56929999999999992" u="1"/>
        <n v="0.89641023255813945" u="1"/>
        <n v="0.61549174158947373" u="1"/>
        <n v="0.44665143249230777" u="1"/>
        <n v="0.18122964705882352" u="1"/>
        <n v="0.79133631578947361" u="1"/>
        <n v="0.5521951162790697" u="1"/>
        <n v="0.68921480594632345" u="1"/>
        <n v="0.96858823529411764" u="1"/>
        <n v="0.68427777777777776" u="1"/>
        <n v="0.25429014705883146" u="1"/>
        <n v="0.67715473684210525" u="1"/>
        <n v="0.70473684210526311" u="1"/>
        <n v="0.82719744587448862" u="1"/>
        <n v="0.75315472195121957" u="1"/>
        <n v="0.33000881395348836" u="1"/>
        <n v="0.49166666666666664" u="1"/>
        <n v="0.68436429411770316" u="1"/>
        <n v="0.96718813333333331" u="1"/>
        <n v="0.79350508340736359" u="1"/>
        <n v="0.90081788333333357" u="1"/>
        <n v="0.54759552777777776" u="1"/>
        <n v="0.79905526315789466" u="1"/>
        <n v="0.54206917999999993" u="1"/>
        <n v="0.73344999999999994" u="1"/>
        <n v="0.76793375236955008" u="1"/>
        <n v="0.90635294117647058" u="1"/>
        <n v="0.6518518518518519" u="1"/>
        <n v="0.73851874183499144" u="1"/>
        <n v="0.97745023255813956" u="1"/>
        <n v="0.42153429796116515" u="1"/>
        <n v="0.71105555555555555" u="1"/>
        <n v="0.61577969230769236" u="1"/>
        <n v="0.80166666666666664" u="1"/>
        <n v="0.78938837209302326" u="1"/>
        <n v="0.54100000000000004" u="1"/>
        <n v="0.8750370151021617" u="1"/>
        <n v="0.81579740729574912" u="1"/>
        <n v="0.59111111111111114" u="1"/>
        <n v="0.87928141348336786" u="1"/>
        <n v="0.52449926174358985" u="1"/>
        <n v="0.84321444444444449" u="1"/>
        <n v="0.70615063414634138" u="1"/>
        <n v="0.9127430658375284" u="1"/>
        <n v="9.1896160300069099E-2" u="1"/>
        <n v="0.11660118600000023" u="1"/>
        <n v="0.61767105263157895" u="1"/>
        <n v="0.88030228333333316" u="1"/>
        <n v="0.78521370052314676" u="1"/>
        <n v="0.9010588235294118" u="1"/>
        <n v="0.8381489333333334" u="1"/>
        <n v="0.80406672589083017" u="1"/>
        <n v="0.95517647058823529" u="1"/>
        <n v="0.86040533611111047" u="1"/>
        <n v="0.97966637054584937" u="1"/>
        <n v="9.8666666666666666E-2" u="1"/>
        <n v="0.95891892777777765" u="1"/>
        <n v="0.99222046511627904" u="1"/>
        <n v="0.56997105263157899" u="1"/>
        <n v="0.64725736842105264" u="1"/>
        <n v="0.29650181499999995" u="1"/>
        <n v="0.45366666666666666" u="1"/>
        <n v="0.97348331578947356" u="1"/>
        <n v="0.11966666666666667" u="1"/>
        <n v="0.91042333333333325" u="1"/>
        <n v="0.48364934999999998" u="1"/>
        <n v="0.89627604651162796" u="1"/>
        <n v="0.24565461764706437" u="1"/>
        <n v="0.90445168295331158" u="1"/>
        <n v="0.52832003888888901" u="1"/>
        <n v="0.90869608133451785" u="1"/>
        <n v="0.39877496805825263" u="1"/>
        <n v="0.83867116279069764" u="1"/>
        <n v="0.76839611111111106" u="1"/>
        <n v="0.70555052631578941" u="1"/>
        <n v="0.80511111111111111" u="1"/>
        <n v="6.3877583333338234E-2" u="1"/>
        <n v="0.60615569756097576" u="1"/>
        <n v="0.45352386666666655" u="1"/>
        <n v="0.78116671602013621" u="1"/>
        <n v="0.88355738461538458" u="1"/>
        <n v="0.77759250256842116" u="1"/>
        <n v="0.57972523529414699" u="1"/>
        <n v="0.51645599999999992" u="1"/>
        <n v="0.25714679999999818" u="1"/>
        <n v="0.93790465116279065" u="1"/>
        <n v="0.81266666666666665" u="1"/>
        <n v="0.32156670588236219" u="1"/>
        <n v="0.76646388888888883" u="1"/>
        <n v="0.25487670588235295" u="1"/>
        <n v="0.80368097917283576" u="1"/>
        <n v="0.85454292682926813" u="1"/>
        <n v="0.93706480000000003" u="1"/>
        <n v="0.29715848699999869" u="1"/>
        <n v="0.35644705882352945" u="1"/>
        <n v="0.47666666666666668" u="1"/>
        <n v="0.76394332227916795" u="1"/>
        <n v="0.96527756842105261" u="1"/>
        <n v="0.98113598048780482" u="1"/>
        <n v="0.31361676470588795" u="1"/>
        <n v="0.4612222222222222" u="1"/>
        <n v="0.17944670588235073" u="1"/>
        <n v="0.8992343953488372" u="1"/>
        <n v="0.91925772381798443" u="1"/>
        <n v="0.47790697674418603" u="1"/>
        <n v="0.94343626666666669" u="1"/>
        <n v="0.10170663999999972" u="1"/>
        <n v="0.99305882352941177" u="1"/>
        <n v="0.10170663999999974" u="1"/>
        <n v="0.73828699063157888" u="1"/>
        <n v="0.90377427368421059" u="1"/>
        <n v="0.63795658536585353" u="1"/>
        <n v="0.40067120886407775" u="1"/>
        <n v="0.79597275688480895" u="1"/>
        <n v="0.30990547058823531" u="1"/>
        <n v="0.6351853343157895" u="1"/>
        <n v="0.69066666666666665" u="1"/>
        <n v="0.96775169756097568" u="1"/>
        <n v="0.99018439999999996" u="1"/>
        <n v="0.83944444444444444" u="1"/>
        <n v="0.25190751399999983" u="1"/>
        <n v="0.90385180829167888" u="1"/>
        <n v="0.46500000000000002" u="1"/>
        <n v="0.7913628292682926" u="1"/>
        <n v="0.88955555555555554" u="1"/>
        <n v="0.85395722222222215" u="1"/>
        <n v="0.68729641693811072" u="1"/>
        <n v="0.62888888888888894" u="1"/>
        <n v="0.86289606159313004" u="1"/>
        <n v="0.36850396544660202" u="1"/>
        <n v="0.74336842105263157" u="1"/>
        <n v="0.68861111111111106" u="1"/>
        <n v="0.13733333333333334" u="1"/>
        <n v="0.69822222222222219" u="1"/>
        <n v="0.92800000000000005" u="1"/>
        <n v="0.98778806666666663" u="1"/>
        <n v="0.10716012" u="1"/>
        <n v="0.91521073931497388" u="1"/>
        <n v="0.50707717647058825" u="1"/>
        <n v="0.74932290094736831" u="1"/>
        <n v="0.78768137400059224" u="1"/>
        <n v="0.89512444444444439" u="1"/>
        <n v="0.7627279069767442" u="1"/>
        <n v="0.8024545294118629" u="1"/>
        <n v="0.96328101865561144" u="1"/>
        <n v="0.7218049658536585" u="1"/>
        <n v="0.74872745555555598" u="1"/>
        <n v="0.52611111111111108" u="1"/>
        <n v="0.26490779199999825" u="1"/>
        <n v="0.61533076923076924" u="1"/>
        <n v="0.86505279999999996" u="1"/>
        <n v="0.83496157894736844" u="1"/>
        <n v="0.93982999999999994" u="1"/>
        <n v="0.81449922777777817" u="1"/>
        <n v="0.87345770407659662" u="1"/>
        <n v="0.56530379999999991" u="1"/>
        <n v="0.27580778999999978" u="1"/>
        <n v="0.84611786666666655" u="1"/>
        <n v="0.73131971177573785" u="1"/>
        <n v="0.61310406786315796" u="1"/>
        <n v="0.89231072944427992" u="1"/>
        <n v="0.47602307692307694" u="1"/>
        <n v="0.86789473684210527" u="1"/>
        <n v="0.75017273714342114" u="1"/>
        <n v="0.90691935643075705" u="1"/>
        <n v="0.52394416430769242" u="1"/>
        <n v="0.96615396097560979" u="1"/>
        <n v="0.62141911219512191" u="1"/>
        <n v="0.92577238179844046" u="1"/>
        <n v="0.62219692307692309" u="1"/>
        <n v="0.69258263157894739" u="1"/>
        <n v="0.81458136585365848" u="1"/>
        <n v="0.14757055882352413" u="1"/>
        <n v="0.67742629411770283" u="1"/>
        <n v="0.69205555555555553" u="1"/>
        <n v="0.70166666666666666" u="1"/>
        <n v="0.31477023255813952" u="1"/>
        <n v="0.73010697674418601" u="1"/>
        <n v="0.92559116666666685" u="1"/>
        <n v="0.11178305400000005" u="1"/>
        <n v="0.68177789473684214" u="1"/>
        <n v="0.39611111111111114" u="1"/>
        <n v="0.71127777777777779" u="1"/>
        <n v="0.12166666666666667" u="1"/>
        <n v="0.83494611578947364" u="1"/>
        <n v="0.92807631666666668" u="1"/>
        <n v="0.84741315789473681" u="1"/>
        <n v="0.80534476923076925" u="1"/>
        <n v="0.82111111111111112" u="1"/>
        <n v="0.84756139534883723" u="1"/>
        <n v="0.85551943157894728" u="1"/>
        <n v="0.91688600555555544" u="1"/>
        <n v="0.89110769145263147" u="1"/>
        <n v="0.13010234000000084" u="1"/>
        <n v="0.96095944444444448" u="1"/>
        <n v="0.47834940555555555" u="1"/>
        <n v="0.6745676923076922" u="1"/>
        <n v="0.2815897159999986" u="1"/>
        <n v="0.76073437962688772" u="1"/>
        <n v="0.9133037209302326" u="1"/>
        <n v="0.705017356097561" u="1"/>
        <n v="0.85815244444444438" u="1"/>
        <n v="0.82418491707317088" u="1"/>
        <n v="0.37820700728155338" u="1"/>
        <n v="0.74094736842105258" u="1"/>
        <n v="8.380862E-2" u="1"/>
        <n v="0.19798100000000041" u="1"/>
        <n v="0.61524681951219518" u="1"/>
        <n v="0.56338551111111124" u="1"/>
        <n v="0.79439252336448596" u="1"/>
        <n v="0.9405784226631132" u="1"/>
        <n v="0.88622202926829263" u="1"/>
        <n v="0.9192754666666666" u="1"/>
        <n v="0.71891186046511624" u="1"/>
        <n v="0.61588346802354588" u="1"/>
        <n v="0.87681921052631573" u="1"/>
        <n v="0.1738924" u="1"/>
        <n v="0.79777777777777781" u="1"/>
        <n v="0.78829000000000005" u="1"/>
        <n v="0.76868448780487808" u="1"/>
        <n v="0.81364999999999998" u="1"/>
        <n v="0.87336302439024383" u="1"/>
        <n v="0.51510505774358972" u="1"/>
        <n v="7.0813235294116428E-2" u="1"/>
        <n v="0.70405526315789468" u="1"/>
        <n v="0.63733333333333331" u="1"/>
        <n v="0.83534086829268306" u="1"/>
        <n v="0.66164953488372091" u="1"/>
        <n v="0.56130631578947365" u="1"/>
        <n v="0.8362222222222222" u="1"/>
        <n v="0.26269505882352939" u="1"/>
        <n v="0.86346132222222205" u="1"/>
        <n v="0.88506262357894727" u="1"/>
        <n v="0.18873604500000085" u="1"/>
        <n v="0.94662613333333334" u="1"/>
        <n v="0.283953488372093" u="1"/>
        <n v="0.77444444444444449" u="1"/>
        <n v="0.90691499999999992" u="1"/>
        <n v="0.76820723529411761" u="1"/>
        <n v="0.92628099444444445" u="1"/>
        <n v="0.91953347054787804" u="1"/>
        <n v="0.81397689473684198" u="1"/>
        <n v="0.73713421052631578" u="1"/>
        <n v="0.98290183720930224" u="1"/>
        <n v="0.77949697674418605" u="1"/>
        <n v="0.90061023255813943" u="1"/>
        <n v="0.92222873170731701" u="1"/>
        <n v="0.27247614699999823" u="1"/>
        <n v="0.33580969799999894" u="1"/>
        <n v="0.92242868333333339" u="1"/>
        <n v="0.9660797333333333" u="1"/>
        <n v="0.56955929411767692" u="1"/>
        <n v="0.91777741860465112" u="1"/>
        <n v="0.5232836669473685" u="1"/>
        <n v="0.7025555555555556" u="1"/>
        <n v="0.35021538461538465" u="1"/>
        <n v="0.99537486666666664" u="1"/>
        <n v="0.10742262" u="1"/>
        <n v="0.54699565113846138" u="1"/>
        <n v="0.84979501463414631" u="1"/>
        <n v="0.92824005527588593" u="1"/>
        <n v="0.95364108595511121" u="1"/>
        <n v="0.70128090697674417" u="1"/>
        <n v="0.39035637749514562" u="1"/>
        <n v="0.89182746574736838" u="1"/>
        <n v="0.69305369999999999" u="1"/>
        <n v="0.64119488372093025" u="1"/>
        <n v="0.95303760000000004" u="1"/>
        <n v="0.88669415000000018" u="1"/>
        <n v="0.95044546341463387" u="1"/>
        <n v="0.99617839999999991" u="1"/>
        <n v="0.72933333333333328" u="1"/>
        <n v="0.26122180999999833" u="1"/>
        <n v="0.79084999999999994" u="1"/>
        <n v="0.44921089456410251" u="1"/>
        <n v="0.7075973684210527" u="1"/>
        <n v="0.46888888888888891" u="1"/>
        <n v="0.80042105263157892" u="1"/>
        <n v="0.89461140000000006" u="1"/>
        <n v="0.50599481111111111" u="1"/>
        <n v="0.60181770905263132" u="1"/>
        <n v="0.53726436666666677" u="1"/>
        <n v="0.46072151111111109" u="1"/>
        <n v="0.95211253333333334" u="1"/>
        <n v="0.92616666666666669" u="1"/>
        <n v="0.83783783783783783" u="1"/>
        <n v="0.70599999999999996" u="1"/>
        <n v="0.6995515474736842" u="1"/>
        <n v="0.52633333333333332" u="1"/>
        <n v="0.66315247804878052" u="1"/>
        <n v="0.54071531666666672" u="1"/>
        <n v="0.93017372093023254" u="1"/>
        <n v="0.97650774849471922" u="1"/>
        <n v="0.32189347058824402" u="1"/>
        <n v="0.97995902105263155" u="1"/>
        <n v="0.66562632273684219" u="1"/>
        <n v="0.76076695555555551" u="1"/>
        <n v="9.8810081000000119E-2" u="1"/>
        <n v="0.84897838318033758" u="1"/>
        <n v="0.59443789473684205" u="1"/>
        <n v="0.85322278156154374" u="1"/>
        <n v="0.86835294117647055" u="1"/>
        <n v="0.77187594117647063" u="1"/>
        <n v="0.40912307692307698" u="1"/>
        <n v="0.76689333333333332" u="1"/>
        <n v="0.92488184999999956" u="1"/>
        <n v="0.4777538461538462" u="1"/>
        <n v="0.58399999999999996" u="1"/>
        <n v="0.78164888888888895" u="1"/>
        <n v="0.92014608626986483" u="1"/>
        <n v="0.79489514736842093" u="1"/>
        <n v="0.82081697674418608" u="1"/>
        <n v="0.36432413999999824" u="1"/>
        <n v="0.93899911163754812" u="1"/>
        <n v="0.30120664705882599" u="1"/>
        <n v="0.30414163899999846" u="1"/>
        <n v="0.95699828421052624" u="1"/>
        <n v="0.80069538888888914" u="1"/>
        <n v="0.93076986666666672" u="1"/>
        <n v="0.93534373333333332" u="1"/>
        <n v="0.99097744186046521" u="1"/>
        <n v="0.82133333333333336" u="1"/>
        <n v="0.87839305103148746" u="1"/>
        <n v="0.99582283157894735" u="1"/>
        <n v="0.97129411764705886" u="1"/>
        <n v="0.66686507936507933" u="1"/>
        <n v="0.12062149" u="1"/>
        <n v="0.87507326610526304" u="1"/>
        <n v="0.70542789473684209" u="1"/>
        <n v="0.95221013333333338" u="1"/>
        <n v="0.83600775555555573" u="1"/>
        <n v="0.96816506666666668" u="1"/>
        <n v="0.91609910176685416" u="1"/>
        <n v="0.51503616168421051" u="1"/>
        <n v="0.16883418000000147" u="1"/>
        <n v="0.8288888888888889" u="1"/>
        <n v="0.63945894736842102" u="1"/>
        <n v="0.64641052631578944" u="1"/>
        <n v="0.215366742" u="1"/>
        <n v="0.85750430000000011" u="1"/>
        <n v="0.69189473684210523" u="1"/>
        <n v="0.79078579547368411" u="1"/>
        <n v="0.85772222222222227" u="1"/>
        <n v="0.82627578718783934" u="1"/>
        <n v="0.86733333333333329" u="1"/>
        <n v="0.21476040399999982" u="1"/>
        <n v="0.64063076923076934" u="1"/>
        <n v="0.60666666666666669" u="1"/>
        <n v="0.20329933199999972" u="1"/>
        <n v="0.94246418604651161" u="1"/>
        <n v="0.62180769230769228" u="1"/>
        <n v="0.67327837209302333" u="1"/>
        <n v="0.62918674418604659" u="1"/>
        <n v="0.65677777777777779" u="1"/>
        <n v="0.57629629629629631" u="1"/>
        <n v="9.9666666666666667E-2" u="1"/>
        <n v="0.82220476666666664" u="1"/>
        <n v="0.47311111111111109" u="1"/>
        <n v="0.77466666666666661" u="1"/>
        <n v="0.40656162633980597" u="1"/>
        <n v="0.59499999999999997" u="1"/>
        <n v="0.91205211726384361" u="1"/>
        <n v="0.16123414000000033" u="1"/>
        <n v="0.34277777777777779" u="1"/>
        <n v="0.48181041176470918" u="1"/>
        <n v="0.38679660487378648" u="1"/>
        <n v="0.58333333333333337" u="1"/>
        <n v="0.54847026666666654" u="1"/>
        <n v="0.86322222222222222" u="1"/>
        <n v="0.34593876470588736" u="1"/>
        <n v="0.8254814249473682" u="1"/>
        <n v="0.4097528881165049" u="1"/>
        <n v="0.79729333333333341" u="1"/>
        <n v="0.13529115700000072" u="1"/>
        <n v="0.33111111111111113" u="1"/>
        <n v="0.56099230769230768" u="1"/>
        <n v="0.54695407222222214" u="1"/>
        <n v="0.88832337242105286" u="1"/>
        <n v="0.94160833333333338" u="1"/>
        <n v="0.99775480555555485" u="1"/>
        <n v="0.88915210739314976" u="1"/>
        <n v="0.64441531707317068" u="1"/>
        <n v="0.9037607343796269" u="1"/>
        <n v="0.10742979999999996" u="1"/>
        <n v="0.53916712004102574" u="1"/>
        <n v="0.90800513276083306" u="1"/>
        <n v="0.76162274207876812" u="1"/>
        <n v="0.97057566666666673" u="1"/>
        <n v="0.7818936842105263" u="1"/>
        <n v="0.80806100000000003" u="1"/>
        <n v="0.50452307692307696" u="1"/>
        <n v="0.92252253333333334" u="1"/>
        <n v="8.939357999999975E-2" u="1"/>
        <n v="0.89" u="1"/>
        <n v="0.95607541210147073" u="1"/>
        <n v="8.9393579999999875E-2" u="1"/>
        <n v="0.75670594117653978" u="1"/>
        <n v="0.70872157894736842" u="1"/>
        <n v="0.93321873170731695" u="1"/>
        <n v="0.84101548421052652" u="1"/>
        <n v="0.69034368421052639" u="1"/>
        <n v="0.69402995121951216" u="1"/>
        <n v="8.8134764705881011E-2" u="1"/>
        <n v="0.7551949055555558" u="1"/>
        <n v="0.85295423126315795" u="1"/>
        <n v="8.8134764705881066E-2" u="1"/>
        <n v="0.88794444444444443" u="1"/>
        <n v="0.8662520975224558" u="1"/>
        <n v="0.48420916272631592" u="1"/>
        <n v="0.72411410522159703" u="1"/>
        <n v="0.33317400000000574" u="1"/>
        <n v="0.79180197222222226" u="1"/>
        <n v="0.10212435294117647" u="1"/>
        <n v="0.93822767441860466" u="1"/>
        <n v="0.89971374987661634" u="1"/>
        <n v="0.89059488372093021" u="1"/>
        <n v="0.38600783925242721" u="1"/>
        <n v="0.69661111111111107" u="1"/>
        <n v="0.13060720000000101" u="1"/>
        <n v="0.13933333333333334" u="1"/>
        <n v="0.59505263157894739" u="1"/>
        <n v="0.63606767441860468" u="1"/>
        <n v="0.85029055555555555" u="1"/>
        <n v="0.93317540223077677" u="1"/>
        <n v="0.75281102439024394" u="1"/>
        <n v="0.93600000000000005" u="1"/>
        <n v="0.13060720000000126" u="1"/>
        <n v="0.75266883720930233" u="1"/>
        <n v="0.99245020487804869" u="1"/>
        <n v="0.67645" u="1"/>
        <n v="0.84306736842105268" u="1"/>
        <n v="0.4934544628717949" u="1"/>
        <n v="0.38231341019417481" u="1"/>
        <n v="0.72540477073170739" u="1"/>
        <n v="0.64253789473684209" u="1"/>
        <n v="0.70850999999999997" u="1"/>
        <n v="0.70416666666666672" u="1"/>
        <n v="0.60011904651162795" u="1"/>
        <n v="0.9109658139534883" u="1"/>
        <n v="0.55895467336410254" u="1"/>
        <n v="0.6539048823529835" u="1"/>
        <n v="0.90653950243902437" u="1"/>
        <n v="0.23908314900000063" u="1"/>
        <n v="0.5842222222222222" u="1"/>
        <n v="0.73660157894736844" u="1"/>
        <n v="0.79871921951219516" u="1"/>
        <n v="0.89566676537360579" u="1"/>
        <n v="0.54761904761904767" u="1"/>
        <n v="0.45226322222222226" u="1"/>
        <n v="0.92227777777777775" u="1"/>
        <n v="0.55333333333333334" u="1"/>
        <n v="0.97372148872631581" u="1"/>
        <n v="0.98472842105263159" u="1"/>
        <n v="0.91451979074128908" u="1"/>
        <n v="0.35624166999999973" u="1"/>
        <n v="0.89930181052631586" u="1"/>
        <n v="0.77238179844043031" u="1"/>
        <n v="0.57831842105263154" u="1"/>
        <n v="0.51931982777777785" u="1"/>
        <n v="9.2999999999999999E-2" u="1"/>
        <n v="0.65552248105263178" u="1"/>
        <n v="0.41286" u="1"/>
        <n v="0.82109736842105263" u="1"/>
        <n v="0.54086287777777786" u="1"/>
        <n v="0.56956242547368419" u="1"/>
        <n v="0.94036567804878046" u="1"/>
        <n v="0.79656893741052637" u="1"/>
        <n v="0.45677652235897448" u="1"/>
        <n v="0.42100947810526312" u="1"/>
        <n v="0.75298964928147927" u="1"/>
        <n v="0.65627050555555533" u="1"/>
        <n v="0.98955555555555552" u="1"/>
        <n v="0.3803516046511628" u="1"/>
        <n v="0.76793736842105265" u="1"/>
        <n v="0.79048253658536594" u="1"/>
        <n v="0.16711664705882354" u="1"/>
        <n v="0.89161978087059524" u="1"/>
        <n v="0.40805952125242706" u="1"/>
        <n v="0.42800825446153845" u="1"/>
        <n v="0.91047280623827853" u="1"/>
        <n v="0.65347222222222223" u="1"/>
        <n v="0.2909230769230769" u="1"/>
        <n v="0.83003555555555553" u="1"/>
        <n v="0.87109388888888895" u="1"/>
        <n v="0.76733333333333331" u="1"/>
        <n v="0.8579444444444444" u="1"/>
        <n v="0.63777777777777778" u="1"/>
        <n v="0.94350144210526332" u="1"/>
        <n v="0.67426710097719866" u="1"/>
        <n v="0.98739206666666668" u="1"/>
        <n v="0.91810742105263121" u="1"/>
        <n v="0.85411114401342414" u="1"/>
        <n v="0.85773924444444438" u="1"/>
        <n v="0.75362953488372098" u="1"/>
        <n v="0.31156029411764824" u="1"/>
        <n v="0.80710758823538764" u="1"/>
        <n v="0.69650769230769238" u="1"/>
        <n v="0.98763800000000002" u="1"/>
        <n v="0.45777777777777778" u="1"/>
        <n v="0.97881507317073169" u="1"/>
        <n v="0.92495548333333355" u="1"/>
        <n v="0.4849846153846154" u="1"/>
        <n v="0.78668682777777754" u="1"/>
        <n v="0.20807658823529412" u="1"/>
        <n v="0.5791577080000001" u="1"/>
        <n v="0.61444444444444446" u="1"/>
        <n v="0.77752028292682918" u="1"/>
        <n v="0.13317318700000061" u="1"/>
        <n v="0.90693826666666666" u="1"/>
        <n v="0.85383333333333333" u="1"/>
        <n v="0.95449610107590566" u="1"/>
        <n v="0.72647737560975612" u="1"/>
        <n v="0.96217043902439003" u="1"/>
        <n v="0.40422911764705882" u="1"/>
        <n v="0.89079978333333287" u="1"/>
        <n v="0.98795775343006609" u="1"/>
        <n v="0.76947040498442365" u="1"/>
        <n v="0.93277777777777782" u="1"/>
        <n v="0.95764705882352941" u="1"/>
        <n v="0.82462395348837203" u="1"/>
        <n v="0.67533777777777781" u="1"/>
        <n v="0.92109895999999991" u="1"/>
        <n v="0.92182509268292667" u="1"/>
        <n v="0.72646860465116281" u="1"/>
        <n v="0.93821502777777743" u="1"/>
        <n v="0.51360086694736851" u="1"/>
        <n v="0.91149999999999998" u="1"/>
        <n v="0.69455999999999996" u="1"/>
        <n v="0.69133333333333336" u="1"/>
        <n v="0.17823705882352942" u="1"/>
        <n v="0.68189684210526313" u="1"/>
        <n v="9.0840039999999164E-2" u="1"/>
        <n v="0.60035869589473678" u="1"/>
        <n v="0.43167463291262137" u="1"/>
        <n v="0.7413947919784496" u="1"/>
        <n v="0.82716414963971963" u="1"/>
        <n v="0.88270604651162787" u="1"/>
        <n v="0.68688421052631576" u="1"/>
        <n v="0.88816666666666666" u="1"/>
        <n v="0.27981994117647746" u="1"/>
        <n v="0.84177277662619687" u="1"/>
        <n v="0.51565581605128208" u="1"/>
        <n v="0.91947368421052633" u="1"/>
        <n v="0.89777777777777779" u="1"/>
        <n v="0.61038189444444457" u="1"/>
        <n v="0.92527186046511622" u="1"/>
        <n v="0.81336842105263163" u="1"/>
        <n v="0.94788888888888889" u="1"/>
        <n v="0.63613688516412248" u="1"/>
        <n v="0.68666388888888896" u="1"/>
        <n v="0.68722222222222218" u="1"/>
        <n v="0.8674074074074074" u="1"/>
        <n v="0.73733333333333329" u="1"/>
        <n v="0.40402627550485448" u="1"/>
        <n v="0.7575180748421052" u="1"/>
        <n v="0.88611111111111107" u="1"/>
        <n v="0.62302536077192383" u="1"/>
        <n v="0.82505263157894737" u="1"/>
        <n v="0.93166416279069775" u="1"/>
        <n v="0.92754910670220114" u="1"/>
        <n v="0.84411004878048745" u="1"/>
        <n v="0.61284210526315785" u="1"/>
        <n v="0.90533333333333332" u="1"/>
        <n v="0.80966721666666686" u="1"/>
        <n v="0.69125019473684213" u="1"/>
        <n v="0.80426413976902578" u="1"/>
        <n v="0.35412147058823529" u="1"/>
        <n v="0.82524747623248063" u="1"/>
        <n v="0.92544736585365883" u="1"/>
        <n v="0.46051121957894736" u="1"/>
        <n v="0.86093904651162789" u="1"/>
        <n v="0.83783428333333343" u="1"/>
        <n v="0.36547253488372095" u="1"/>
        <n v="0.35550515683495154" u="1"/>
        <n v="0.81337553846153843" u="1"/>
        <n v="0.75751180785850669" u="1"/>
        <n v="0.81495638537685" u="1"/>
        <n v="0.47683103928205134" u="1"/>
        <n v="0.64671082926829271" u="1"/>
        <n v="0.25548633099999818" u="1"/>
        <n v="0.49588888888888888" u="1"/>
        <n v="0.89661255813953489" u="1"/>
        <n v="0.95133333333333336" u="1"/>
        <n v="0.54188888888888886" u="1"/>
        <n v="0.78603255813953488" u="1"/>
        <n v="0.51718517221052629" u="1"/>
        <n v="0.7968031219512195" u="1"/>
        <n v="0.89734384444444348" u="1"/>
        <n v="0.95696377455335113" u="1"/>
        <n v="0.79088888888888886" u="1"/>
        <n v="0.58831264705885045" u="1"/>
        <n v="0.46006732857142857" u="1"/>
        <n v="0.94707438988532788" u="1"/>
        <n v="0.83131999999999995" u="1"/>
        <n v="0.4367632352941308" u="1"/>
        <n v="0.50380000000000003" u="1"/>
        <n v="0.56051226666666643" u="1"/>
        <n v="0.56863313888888878" u="1"/>
        <n v="0.96961666666666657" u="1"/>
        <n v="0.33710386999999997" u="1"/>
        <n v="0.41944444444444445" u="1"/>
        <n v="0.53476303888888888" u="1"/>
        <n v="0.67005368421052636" u="1"/>
        <n v="0.7984444444444444" u="1"/>
        <n v="0.13" u="1"/>
        <n v="0.89527531111111081" u="1"/>
        <n v="0.5377777777777778" u="1"/>
        <n v="0.49750586905263167" u="1"/>
        <n v="0.1014085" u="1"/>
        <n v="0.76253642849964831" u="1"/>
        <n v="0.85872499999999996" u="1"/>
        <n v="0.90887645263157879" u="1"/>
        <n v="0.95211385365853651" u="1"/>
        <n v="0.82087093023255808" u="1"/>
        <n v="0.50740740740740742" u="1"/>
        <n v="0.82727777777777778" u="1"/>
        <n v="0.10071930000000012" u="1"/>
        <n v="0.75200330731707321" u="1"/>
        <n v="0.53845907777777779" u="1"/>
        <n v="0.62899883720930239" u="1"/>
        <n v="0.91395930232558142" u="1"/>
        <n v="0.9559097333333334" u="1"/>
        <n v="0.59709965067368409" u="1"/>
        <n v="0.66696428571428568" u="1"/>
        <n v="0.80600000000000005" u="1"/>
        <n v="0.96889634736842101" u="1"/>
        <n v="0.72339466410526321" u="1"/>
        <n v="0.97861725263157895" u="1"/>
        <n v="0.97127916666666692" u="1"/>
        <n v="0.10098224000000001" u="1"/>
        <n v="0.66531472195121943" u="1"/>
        <n v="0.88147279069767448" u="1"/>
        <n v="0.79433333333333334" u="1"/>
        <n v="0.97117647058823531" u="1"/>
        <n v="0.6680044444444444" u="1"/>
        <n v="0.91540815319316948" u="1"/>
        <n v="0.87992395348837205" u="1"/>
        <n v="0.77234578947368415" u="1"/>
        <n v="0.88327130526315789" u="1"/>
        <n v="0.36586535294117645" u="1"/>
        <n v="0.98568421052631583" u="1"/>
        <n v="0.7173902325581395" u="1"/>
        <n v="0.68400000000000005" u="1"/>
        <n v="0.346069470588241" u="1"/>
        <n v="0.67555684210526312" u="1"/>
        <n v="0.82558483861415455" u="1"/>
        <n v="0.98031944444444441" u="1"/>
        <n v="0.85199999999999998" u="1"/>
        <n v="0.68177232558139533" u="1"/>
        <n v="0.77019888888888888" u="1"/>
        <n v="0.73905526315789472" u="1"/>
        <n v="0.90211111111111109" u="1"/>
        <n v="0.29775417647058822" u="1"/>
        <n v="0.77264711764705885" u="1"/>
        <n v="0.96595433170731704" u="1"/>
        <n v="0.59185185185185185" u="1"/>
        <n v="0.13566666666666666" u="1"/>
        <n v="0.73151712565393345" u="1"/>
        <n v="0.84033333333333338" u="1"/>
        <n v="0.30779882352941823" u="1"/>
        <n v="0.67184947368421044" u="1"/>
        <n v="0.85539363284210523" u="1"/>
        <n v="0.84994444444444439" u="1"/>
        <n v="0.90711677030895277" u="1"/>
        <n v="0.67027777777777775" u="1"/>
        <n v="0.63941494117649389" u="1"/>
        <n v="0.98761693333333334" u="1"/>
        <n v="0.61735145715789475" u="1"/>
        <n v="0.97087239999999997" u="1"/>
        <n v="0.8026848287434607" u="1"/>
        <n v="0.95943144803079661" u="1"/>
        <n v="0.26557547058823927" u="1"/>
        <n v="0.70509160975609764" u="1"/>
        <n v="0.88838888888888889" u="1"/>
        <n v="0.62220867317073181" u="1"/>
        <n v="0.75892082777777792" u="1"/>
        <n v="0.89823154736842137" u="1"/>
        <n v="0.73755555555555552" u="1"/>
        <n v="0.34605841176470586" u="1"/>
        <n v="0.64441947368421049" u="1"/>
        <n v="0.5580512666666666" u="1"/>
        <n v="0.70666666666666667" u="1"/>
        <n v="0.90731418418714838" u="1"/>
        <n v="0.49221538461538461" u="1"/>
        <n v="0.83196838048780508" u="1"/>
        <n v="0.90216236097560965" u="1"/>
        <n v="0.69217129411771094" u="1"/>
        <n v="0.71829418604651163" u="1"/>
        <n v="0.54622222222222228" u="1"/>
        <n v="0.59728116097560968" u="1"/>
        <n v="0.67524263157894737" u="1"/>
        <n v="0.39277777777777778" u="1"/>
        <n v="0.99098013333333324" u="1"/>
        <n v="0.8476120930232558" u="1"/>
        <n v="0.24405317647058825" u="1"/>
        <n v="0.80375830526315795" u="1"/>
        <n v="0.93479866666666667" u="1"/>
        <n v="0.9433815789473684" u="1"/>
        <n v="0.94117647058823528" u="1"/>
        <n v="0.9544168975609757" u="1"/>
        <n v="0.44832983249230762" u="1"/>
        <n v="0.42140255813953487" u="1"/>
        <n v="0.87667740555555562" u="1"/>
        <n v="0.11807652941176144" u="1"/>
        <n v="0.71716695348837212" u="1"/>
        <n v="0.73194209302325586" u="1"/>
        <n v="0.67402921666666671" u="1"/>
        <n v="0.85718625581395347" u="1"/>
        <n v="0.75266666666666671" u="1"/>
        <n v="0.84361263157894739" u="1"/>
        <n v="0.91787582667061496" u="1"/>
        <n v="0.43836446651456329" u="1"/>
        <n v="0.79855777777777781" u="1"/>
        <n v="0.82199999999999995" u="1"/>
        <n v="0.97077777777777774" u="1"/>
        <n v="0.7911111111111111" u="1"/>
        <n v="0.85562039024390213" u="1"/>
        <n v="0.4823151172307692" u="1"/>
        <n v="0.58773651162790697" u="1"/>
        <n v="0.77869004878048753" u="1"/>
        <n v="0.99" u="1"/>
        <n v="0.69036532558139541" u="1"/>
        <n v="0.93782308292682914" u="1"/>
        <n v="0.56449820555555563" u="1"/>
        <n v="0.98717647058823532" u="1"/>
        <n v="0.79160055555555553" u="1"/>
        <n v="0.79683990243902447" u="1"/>
        <n v="0.22634523529411765" u="1"/>
        <n v="0.7362057463414633" u="1"/>
        <n v="0.2263452352941179" u="1"/>
        <n v="0.10266666666666667" u="1"/>
        <n v="0.5735769230769231" u="1"/>
        <n v="0.81338558938800121" u="1"/>
        <n v="0.85893339999999985" u="1"/>
        <n v="0.7017072736842106" u="1"/>
        <n v="0.73822919751258509" u="1"/>
        <n v="0.8695406829268294" u="1"/>
        <n v="0.59133777777777774" u="1"/>
        <n v="0.55961578947368418" u="1"/>
        <n v="0.97769386666666658" u="1"/>
        <n v="0.9589901999999999" u="1"/>
        <n v="0.74277385365853665" u="1"/>
        <n v="0.86213023255813948" u="1"/>
        <n v="0.13966666666666666" u="1"/>
        <n v="0.74611881395348834" u="1"/>
        <n v="0.6314079069767442" u="1"/>
        <n v="9.0191159999999188E-2" u="1"/>
        <n v="0.66225648837209306" u="1"/>
        <n v="9.0191159999999243E-2" u="1"/>
        <n v="0.80263838055555581" u="1"/>
        <n v="0.92766263611111022" u="1"/>
        <n v="0.67687502439024405" u="1"/>
        <n v="0.82229232558139531" u="1"/>
        <n v="0.66367023529416624" u="1"/>
        <n v="0.4662804570526316" u="1"/>
        <n v="0.67461111111111116" u="1"/>
        <n v="0.98842333333333332" u="1"/>
        <n v="0.78713465116279069" u="1"/>
        <n v="0.71830894736842099" u="1"/>
        <n v="0.59048723529415226" u="1"/>
        <n v="0.6938333333333333" u="1"/>
        <n v="0.65333333333333332" u="1"/>
        <n v="0.77253111111111106" u="1"/>
        <n v="0.82307837209302326" u="1"/>
        <n v="0.62296296296296294" u="1"/>
        <n v="0.67401692307692307" u="1"/>
        <n v="0.94967929473684221" u="1"/>
        <n v="0.79207724210526298" u="1"/>
        <n v="0.87589692222222215" u="1"/>
        <n v="0.27473205882352941" u="1"/>
        <n v="0.9207253333333334" u="1"/>
        <n v="0.77462641176478764" u="1"/>
        <n v="0.79994951219512178" u="1"/>
        <n v="0.88688184779389989" u="1"/>
        <n v="0.74877754146341491" u="1"/>
        <n v="0.90149047478037703" u="1"/>
        <n v="0.21007577999999999" u="1"/>
        <n v="0.93518146666666668" u="1"/>
        <n v="0.79144350833333388" u="1"/>
        <n v="0.87758148421052662" u="1"/>
        <n v="0.12337957099999956" u="1"/>
        <n v="0.78218936585365839" u="1"/>
        <n v="0.87230388888888888" u="1"/>
        <n v="0.66803069767441869" u="1"/>
        <n v="0.95380515250222087" u="1"/>
        <n v="0.79112380487804879" u="1"/>
        <n v="0.12470000000000001" u="1"/>
        <n v="0.78242179444444437" u="1"/>
        <n v="0.4526236666666667" u="1"/>
        <n v="0.9194878666666666" u="1"/>
        <n v="0.7068888888888889" u="1"/>
        <n v="0.9237233600000001" u="1"/>
        <n v="0.75318976744186039" u="1"/>
        <n v="0.69525105263157894" u="1"/>
        <n v="0.70772865215789471" u="1"/>
        <n v="0.45044697674418605" u="1"/>
        <n v="0.97312359999999998" u="1"/>
        <n v="0.5464444444444444" u="1"/>
        <n v="0.93485693333333331" u="1"/>
        <n v="0.92500000000000004" u="1"/>
        <n v="0.89489783157894731" u="1"/>
        <n v="0.45293118799999998" u="1"/>
        <n v="0.96189842105263157" u="1"/>
        <n v="0.79378947368421049" u="1"/>
        <n v="0.84383479047331922" u="1"/>
        <n v="0.94975816799921031" u="1"/>
        <n v="0.83305263157894738" u="1"/>
        <n v="0.85124896842105269" u="1"/>
        <n v="0.98110651162790696" u="1"/>
        <n v="0.71444444444444444" u="1"/>
        <n v="0.80862189999999989" u="1"/>
        <n v="0.31266666666666665" u="1"/>
        <n v="0.62568368421052634" u="1"/>
        <n v="0.68433520876517617" u="1"/>
        <n v="0.92281823157894738" u="1"/>
        <n v="0.4498160991589743" u="1"/>
        <n v="0.52143647777777791" u="1"/>
        <n v="0.7837777777777778" u="1"/>
        <n v="0.81539543764445788" u="1"/>
        <n v="0.12633333333333333" u="1"/>
        <n v="0.39666666666666667" u="1"/>
        <n v="0.9579179707317077" u="1"/>
        <n v="0.52069532777777761" u="1"/>
        <n v="0.60700378694736823" u="1"/>
        <n v="0.5481873444444445" u="1"/>
        <n v="0.93813082105263157" u="1"/>
        <n v="0.87878787878787878" u="1"/>
        <n v="0.67677052631578949" u="1"/>
        <n v="0.85646241052631578" u="1"/>
        <n v="0.91065396666666631" u="1"/>
        <n v="0.72199999999999998" u="1"/>
        <n v="0.39909935449514566" u="1"/>
        <n v="0.77022253488372094" u="1"/>
        <n v="0.93578317073170736" u="1"/>
        <n v="0.9491647692307692" u="1"/>
        <n v="0.75125851347349715" u="1"/>
        <n v="0.47206153846153848" u="1"/>
        <n v="0.81239418604651159" u="1"/>
        <n v="0.91224953114203933" u="1"/>
        <n v="0.51920769230769226" u="1"/>
        <n v="0.78172222222222221" u="1"/>
        <n v="0.50500603333333338" u="1"/>
        <n v="0.51144444444444448" u="1"/>
        <n v="0.74963970588235296" u="1"/>
        <n v="0.58664403333333337" u="1"/>
        <n v="0.95348693658536565" u="1"/>
        <n v="0.77847453658536581" u="1"/>
        <n v="0.94048026666666673" u="1"/>
        <n v="0.61166666666666669" u="1"/>
        <n v="0.73368421052631583" u="1"/>
        <n v="0.53066666666666662" u="1"/>
        <n v="0.96031981048267689" u="1"/>
        <n v="0.96466999999999992" u="1"/>
        <n v="0.76417584444444464" u="1"/>
        <n v="0.77294736842105261" u="1"/>
        <n v="0.88950624999999961" u="1"/>
        <n v="0.81818181818181823" u="1"/>
        <n v="0.92144630769230762" u="1"/>
        <n v="0.87870588235294123" u="1"/>
        <n v="0.71698546341463398" u="1"/>
        <n v="0.6" u="1"/>
        <n v="0.63819997674418605" u="1"/>
        <n v="0.65987060694736843" u="1"/>
        <n v="0.9980258612180436" u="1"/>
        <n v="0.78972473684210531" u="1"/>
        <n v="0.56804334652631583" u="1"/>
        <n v="0.85588786891718482" u="1"/>
        <n v="0.77703417222222204" u="1"/>
        <n v="0.7283585036028033" u="1"/>
        <n v="0.51087149852631575" u="1"/>
        <n v="0.90929280000000001" u="1"/>
        <n v="0.91961080000000006" u="1"/>
        <n v="0.2501289411764735" u="1"/>
        <n v="0.61658741666666683" u="1"/>
        <n v="0.65363731111111112" u="1"/>
        <n v="0.42561119733009706" u="1"/>
        <n v="0.30378253199999888" u="1"/>
        <n v="0.97712806666666674" u="1"/>
        <n v="0.99431075789473666" u="1"/>
        <n v="0.90666666666666662" u="1"/>
        <n v="0.94592183414634112" u="1"/>
        <n v="0.97512585134734975" u="1"/>
        <n v="0.70846509302325578" u="1"/>
        <n v="0.9844705882352941" u="1"/>
        <n v="0.8106269268292684" u="1"/>
        <n v="0.5283461538461538" u="1"/>
        <n v="0.84759648603296811" u="1"/>
        <n v="0.88298511627906973" u="1"/>
        <n v="0.65222105263157903" u="1"/>
        <n v="0.89028147368421062" u="1"/>
        <n v="0.95941626666666668" u="1"/>
        <n v="0.38357076923076922" u="1"/>
        <n v="0.84464558139534884" u="1"/>
        <n v="0.90377416111111075" u="1"/>
        <n v="0.36010487199999835" u="1"/>
        <n v="0.87337057728119183" u="1"/>
        <n v="0.61842105263157898" u="1"/>
        <n v="0.69110893157894748" u="1"/>
        <n v="0.74316454446747604" u="1"/>
        <n v="0.86411111111111116" u="1"/>
        <n v="0.4219244096116504" u="1"/>
        <n v="0.39019478776699029" u="1"/>
        <n v="0.91876418912249536" u="1"/>
        <n v="0.84627860465116278" u="1"/>
        <n v="0.92223529411764704" u="1"/>
        <n v="0.83004998529844165" u="1"/>
        <n v="0.99987507317073165" u="1"/>
        <n v="0.99304333333333328" u="1"/>
        <n v="0.74680047804878058" u="1"/>
        <n v="0.61049052631578948" u="1"/>
        <n v="0.94039710243902452" u="1"/>
        <n v="0.10166666666666667" u="1"/>
        <n v="0.81748584390243906" u="1"/>
        <n v="0.55981588888888889" u="1"/>
        <n v="0.84354950152995756" u="1"/>
        <n v="0.92177777777777781" u="1"/>
        <n v="0.85598057560975616" u="1"/>
        <n v="0.52557787178947379" u="1"/>
        <n v="0.93853613333333341" u="1"/>
        <n v="0.24507520588235987" u="1"/>
        <n v="0.98772105263157883" u="1"/>
        <n v="0.88809879999999997" u="1"/>
        <n v="0.73618516097560982" u="1"/>
        <n v="0.90579186046511628" u="1"/>
        <n v="0.95596160000000008" u="1"/>
        <n v="0.92932583160596194" u="1"/>
        <n v="0.96823529411764708" u="1"/>
        <n v="0.66866666666666663" u="1"/>
        <n v="0.78235315789473681" u="1"/>
        <n v="0.30951188235294119" u="1"/>
        <n v="0.85335833333333333" u="1"/>
        <n v="0.71877777777777774" u="1"/>
        <n v="0.65947368421052632" u="1"/>
        <n v="0.57492307692307687" u="1"/>
        <n v="0.98164050932780578" u="1"/>
        <n v="0.50822222222222224" u="1"/>
        <n v="0.86388910555555576" u="1"/>
        <n v="0.69750000000000001" u="1"/>
        <n v="0.38089224665048549" u="1"/>
        <n v="0.76060028292682924" u="1"/>
        <n v="0.79772222222222222" u="1"/>
        <n v="0.22566647099999987" u="1"/>
        <n v="0.63313473684210519" u="1"/>
        <n v="0.57703703703703701" u="1"/>
        <n v="0.97323063414634137" u="1"/>
        <n v="0.42388888888888887" u="1"/>
        <n v="0.76333894176842121" u="1"/>
        <n v="0.87296416938110755" u="1"/>
        <n v="0.73082617708024877" u="1"/>
        <n v="0.76270860465116275" u="1"/>
        <n v="0.95953441666666694" u="1"/>
        <n v="0.94086523076923079" u="1"/>
        <n v="0.96572222222222226" u="1"/>
        <n v="0.70884234146341463" u="1"/>
        <n v="0.90819522666666663" u="1"/>
        <n v="0.66595578947368417" u="1"/>
        <n v="0.74555555555555553" u="1"/>
        <n v="0.692465756097561" u="1"/>
        <n v="0.9800238055555559" u="1"/>
        <n v="0.79566666666666663" u="1"/>
        <n v="0.95768984390243905" u="1"/>
        <n v="0.86303069767441865" u="1"/>
        <n v="0.51148962222222216" u="1"/>
        <n v="0.76477777777777778" u="1"/>
        <n v="0.7242777777777778" u="1"/>
        <n v="0.9584966829268291" u="1"/>
        <n v="0.66210263157894744" u="1"/>
        <n v="0.99175127777777783" u="1"/>
        <n v="0.19959376470588233" u="1"/>
        <n v="0.26933423529411765" u="1"/>
        <n v="0.97087395595789461" u="1"/>
        <n v="0.82450000000000001" u="1"/>
        <n v="0.78400000000000003" u="1"/>
        <n v="0.99220215181127236" u="1"/>
        <n v="0.85430855789161975" u="1"/>
        <n v="0.89223529411764702" u="1"/>
        <n v="0.95801833333333342" u="1"/>
        <n v="0.92089513333333328" u="1"/>
        <n v="0.83137373128328806" u="1"/>
        <n v="0.87000897777777753" u="1"/>
        <n v="0.27460135294117644" u="1"/>
        <n v="0.56458947368421053" u="1"/>
        <n v="0.96733649444443692" u="1"/>
        <n v="0.4332923076923077" u="1"/>
        <n v="0.84166666666666667" u="1"/>
        <n v="0.53088888888888885" u="1"/>
        <n v="0.91098386666666664" u="1"/>
        <n v="0.96835173333333335" u="1"/>
        <n v="0.56392138863157892" u="1"/>
        <n v="0.7878641463414634" u="1"/>
        <n v="0.79794689566676535" u="1"/>
        <n v="0.95469351495410126" u="1"/>
        <n v="0.66923372093023259" u="1"/>
        <n v="0.4125250005048543" u="1"/>
        <n v="0.61224359999999989" u="1"/>
        <n v="0.61944444444444446" u="1"/>
        <n v="0.78363023255813957" u="1"/>
        <n v="0.78998891707317087" u="1"/>
        <n v="0.87629894444444434" u="1"/>
        <n v="0.38712307692307696" u="1"/>
        <n v="0.66955555555555557" u="1"/>
        <n v="0.80053134189473707" u="1"/>
        <n v="0.40376325613592229" u="1"/>
        <n v="0.81833333333333336" u="1"/>
        <n v="0.89564615009263182" u="1"/>
        <n v="0.36910221999999848" u="1"/>
        <n v="0.95605232777777771" u="1"/>
        <n v="0.79705555555555552" u="1"/>
        <n v="0.91718487809693017" u="1"/>
        <n v="0.10366666666666667" u="1"/>
        <n v="0.81667609756097559" u="1"/>
        <n v="0.81439051351622949" u="1"/>
        <n v="0.71025263157894736" u="1"/>
        <n v="0.98224964210526278" u="1"/>
        <n v="0.64402894736842098" u="1"/>
        <n v="0.86638888888888888" u="1"/>
        <n v="0.78490395348837205" u="1"/>
        <n v="0.876" u="1"/>
        <n v="0.82736156351791534" u="1"/>
        <n v="0.94183319999999993" u="1"/>
        <n v="0.71443720930232557" u="1"/>
        <n v="0.49376917647060581" u="1"/>
        <n v="0.66748325581395351" u="1"/>
        <n v="0.67085627906976741" u="1"/>
        <n v="0.53359254999999994" u="1"/>
        <n v="0.7155555555555555" u="1"/>
        <n v="0.34570529411764706" u="1"/>
        <n v="0.94837697560975587" u="1"/>
        <n v="0.72368631578947373" u="1"/>
        <n v="0.8450455813953488" u="1"/>
        <n v="0.30918134883720932" u="1"/>
        <n v="0.91503231219512204" u="1"/>
        <n v="0.13834889000000103" u="1"/>
        <n v="0.91309462790697671" u="1"/>
        <n v="0.5537221052631579" u="1"/>
        <n v="0.49666666666666665" u="1"/>
        <n v="0.62847222222222221" u="1"/>
        <n v="0.9528888888888889" u="1"/>
        <n v="0.90975481666666658" u="1"/>
        <n v="0.28985151699999839" u="1"/>
        <n v="0.87188888888888894" u="1"/>
        <n v="0.4722711277777778" u="1"/>
        <n v="0.92200000000000004" u="1"/>
        <n v="0.20798652941176468" u="1"/>
        <n v="0.79176241111111101" u="1"/>
        <n v="0.89111111111111108" u="1"/>
        <n v="0.89562488372093019" u="1"/>
        <n v="0.45462535238095231" u="1"/>
        <n v="0.46690955178947363" u="1"/>
        <n v="0.71339285714285716" u="1"/>
        <n v="0.90774901052631585" u="1"/>
        <n v="0.84279833333333343" u="1"/>
        <n v="0.39975606019417481" u="1"/>
        <n v="0.87138485835554236" u="1"/>
        <n v="0.98264666666666667" u="1"/>
        <n v="0.76526068292682925" u="1"/>
        <n v="0.50088888888888894" u="1"/>
        <n v="0.96413800975609742" u="1"/>
        <n v="0.89023788372322576" u="1"/>
        <n v="0.18306381199999947" u="1"/>
        <n v="0.85408674418604646" u="1"/>
        <n v="0.11555529000000027" u="1"/>
        <n v="0.80121255813953485" u="1"/>
        <n v="0.47486203005128202" u="1"/>
        <n v="0.52626153846153845" u="1"/>
        <n v="0.93647899444444471" u="1"/>
        <n v="0.94165733333333335" u="1"/>
        <n v="0.3709764705882353" u="1"/>
        <n v="0.87904297222222239" u="1"/>
        <n v="0.7452170731707316" u="1"/>
        <n v="0.9425525614450696" u="1"/>
        <n v="5.9507529411764168E-2" u="1"/>
        <n v="0.63851851851851849" u="1"/>
        <n v="0.80061218400000012" u="1"/>
        <n v="0.95179369767441857" u="1"/>
        <n v="0.81502319613068797" u="1"/>
        <n v="0.88944489444444441" u="1"/>
        <n v="0.46088194761904749" u="1"/>
        <n v="0.6081481481481481" u="1"/>
        <n v="0.95814306666666671" u="1"/>
        <n v="0.9547731512195119" u="1"/>
        <n v="0.70733333333333337" u="1"/>
        <n v="0.93711111111111112" u="1"/>
        <n v="0.55364615384615379" u="1"/>
        <n v="0.57056819116842128" u="1"/>
        <n v="0.58284210526315794" u="1"/>
        <n v="0.77666666666666662" u="1"/>
        <n v="0.91738694444444446" u="1"/>
        <n v="0.87831837209302321" u="1"/>
        <n v="0.95007563902439041" u="1"/>
        <n v="0.69566666666666666" u="1"/>
        <n v="0.98420601666666663" u="1"/>
        <n v="0.88619089922021521" u="1"/>
        <n v="0.64551911263157891" u="1"/>
        <n v="0.2973427959999998" u="1"/>
        <n v="0.21968258000000013" u="1"/>
        <n v="0.89741936" u="1"/>
        <n v="9.8043640000000154E-2" u="1"/>
        <n v="0.19036857100000121" u="1"/>
        <n v="0.82168441860465113" u="1"/>
        <n v="0.94466666666666665" u="1"/>
        <n v="0.64872983333333345" u="1"/>
        <n v="0.37989999999999996" u="1"/>
        <n v="0.84592438333333309" u="1"/>
        <n v="0.56660055555555577" u="1"/>
        <n v="0.65628206027368441" u="1"/>
        <n v="0.56683340000000004" u="1"/>
        <n v="0.63523895041404765" u="1"/>
        <n v="0.55548266526315815" u="1"/>
        <n v="0.92434953888888838" u="1"/>
        <n v="0.7533333333333333" u="1"/>
        <n v="0.84544020000000009" u="1"/>
        <n v="0.94802232558139532" u="1"/>
        <n v="0.84443786398183796" u="1"/>
        <n v="0.26106916599999819" u="1"/>
        <n v="0.89283643157894743" u="1"/>
        <n v="0.55707692307692303" u="1"/>
        <n v="0.50788235294117645" u="1"/>
        <n v="0.59288888888888891" u="1"/>
        <n v="0.80745653703145415" u="1"/>
        <n v="0.68752777777777774" u="1"/>
        <n v="0.7448933333333333" u="1"/>
        <n v="0.82266666666666666" u="1"/>
        <n v="0.75594473684210528" u="1"/>
        <n v="0.88214391471720466" u="1"/>
        <n v="0.80672351269234543" u="1"/>
        <n v="0.28390161799999863" u="1"/>
        <n v="0.9334390933333333" u="1"/>
        <n v="0.41502476470589117" u="1"/>
        <n v="0.72366447804878042" u="1"/>
        <n v="0.20049153200000028" u="1"/>
        <n v="0.4447267055555556" u="1"/>
        <n v="0.81100000000000005" u="1"/>
        <n v="0.80594632345605111" u="1"/>
        <n v="0.6313333333333333" u="1"/>
        <n v="0.76609597222222225" u="1"/>
        <n v="0.72662697674418608" u="1"/>
        <n v="0.93277282666666661" u="1"/>
        <n v="0.68899368421052631" u="1"/>
        <n v="0.42225533999999881" u="1"/>
        <n v="0.65879526315789472" u="1"/>
        <n v="0.52720769230769227" u="1"/>
        <n v="0.883043305263158" u="1"/>
        <n v="0.96792024479320893" u="1"/>
        <n v="0.6550815789473684" u="1"/>
        <n v="0.98252887177968606" u="1"/>
        <n v="0.57537688333333326" u="1"/>
        <n v="0.92219950555555541" u="1"/>
        <n v="0.74907712261797865" u="1"/>
        <n v="0.96903586666666675" u="1"/>
        <n v="0.53006153846153847" u="1"/>
        <n v="0.35880000000000001" u="1"/>
        <n v="0.85905555555555557" u="1"/>
        <n v="0.96118173333333334" u="1"/>
        <n v="0.85998746111111135" u="1"/>
        <n v="0.95398052222222218" u="1"/>
        <n v="0.9647557789473683" u="1"/>
        <n v="0.60756981894736839" u="1"/>
        <n v="0.97567764210526309" u="1"/>
        <n v="0.57321428571428568" u="1"/>
        <n v="0.38901608106796115" u="1"/>
        <n v="0.20342447058823529" u="1"/>
        <n v="0.76942059026749576" u="1"/>
        <n v="0.67733333333333334" u="1"/>
        <n v="0.2014241799999997" u="1"/>
        <n v="0.49676983888888893" u="1"/>
        <n v="0.82611111111111113" u="1"/>
        <n v="0.34370370370370368" u="1"/>
        <n v="0.76545073333333313" u="1"/>
        <n v="0.83572222222222226" u="1"/>
        <n v="0.9698480195121949" u="1"/>
        <n v="0.90791558139534878" u="1"/>
        <n v="0.76010210526315791" u="1"/>
        <n v="0.93305263157894736" u="1"/>
        <n v="0.13400000000000001" u="1"/>
        <n v="0.34722222222222221" u="1"/>
        <n v="0.59428835294117643" u="1"/>
        <n v="0.56998635294119826" u="1"/>
        <n v="0.65386904761904763" u="1"/>
        <n v="0.33715759499999864" u="1"/>
        <n v="0.93819024444443777" u="1"/>
        <n v="0.19300231199999945" u="1"/>
        <n v="0.67644888888888888" u="1"/>
        <n v="0.57644689999999998" u="1"/>
        <n v="0.72333333333333338" u="1"/>
        <n v="0.48133333333333334" u="1"/>
        <n v="0.49644584020512822" u="1"/>
        <n v="0.6946054211578947" u="1"/>
        <n v="0.89129980555555566" u="1"/>
        <n v="0.82377927906976744" u="1"/>
        <n v="0.75032069767441856" u="1"/>
        <n v="0.67762" u="1"/>
        <n v="0.89133333333333331" u="1"/>
        <n v="0.9928621333333334" u="1"/>
        <n v="0.71166666666666667" u="1"/>
        <n v="0.14138970588235295" u="1"/>
        <n v="0.76177777777777778" u="1"/>
        <n v="0.64432631578947375" u="1"/>
        <n v="0.99328792814134836" u="1"/>
        <n v="0.69015891817194752" u="1"/>
        <n v="0.73088888888888892" u="1"/>
        <n v="0.61031230769230771" u="1"/>
        <n v="0.23745329411764704" u="1"/>
        <n v="0.56066923076923081" u="1"/>
        <n v="0.7" u="1"/>
        <n v="0.92977777777777781" u="1"/>
        <n v="0.75011111111111106" u="1"/>
        <n v="0.98477599999999998" u="1"/>
        <n v="0.39036153846153843" u="1"/>
        <n v="0.85636196666666653" u="1"/>
        <n v="0.22923076923076924" u="1"/>
        <n v="0.91572648780487786" u="1"/>
        <n v="0.96067232558139526" u="1"/>
        <n v="0.70488209302325577" u="1"/>
        <n v="0.76933333333333331" u="1"/>
        <n v="0.26370180999999815" u="1"/>
        <n v="0.89852790697674423" u="1"/>
        <n v="0.89447604651162782" u="1"/>
        <n v="0.93692626591649397" u="1"/>
        <n v="0.10099823999999982" u="1"/>
        <n v="0.73046069767441868" u="1"/>
        <n v="0.29776506999999952" u="1"/>
        <n v="0.87892562777777539" u="1"/>
        <n v="0.76132833333333327" u="1"/>
        <n v="0.77692578947368418" u="1"/>
        <n v="0.54162365088205122" u="1"/>
        <n v="0.91647058823529415" u="1"/>
        <n v="0.59229736842105263" u="1"/>
        <n v="0.85167906666666648" u="1"/>
        <n v="0.76622787334736864" u="1"/>
        <n v="0.72677777777777774" u="1"/>
        <n v="0.67472881666666673" u="1"/>
        <n v="0.9309765333333333" u="1"/>
        <n v="0.73638888888888887" u="1"/>
        <n v="0.59722222222222221" u="1"/>
        <n v="0.76709417473684205" u="1"/>
        <n v="0.92720714146341443" u="1"/>
        <n v="0.78392976744186049" u="1"/>
        <n v="0.71511111111111114" u="1"/>
        <n v="0.57706111111111102" u="1"/>
        <n v="0.76185369767441857" u="1"/>
        <n v="0.87672604651162789" u="1"/>
        <n v="0.79048465116279065" u="1"/>
        <n v="0.50455555555555553" u="1"/>
        <n v="0.92837683333333332" u="1"/>
        <n v="0.59908015000000003" u="1"/>
        <n v="0.56066461538461543" u="1"/>
        <n v="0.61406210526315796" u="1"/>
        <n v="0.5685119666666667" u="1"/>
        <n v="0.28149091599999987" u="1"/>
        <n v="0.83455555555555561" u="1"/>
        <n v="0.93371439534883716" u="1"/>
        <n v="0.39773023950485431" u="1"/>
        <n v="0.77277777777777779" u="1"/>
        <n v="0.86224813953488366" u="1"/>
        <n v="0.50880239917948711" u="1"/>
        <n v="0.63037861538461537" u="1"/>
        <n v="0.76957901463414635" u="1"/>
        <n v="0.9149689555555558" u="1"/>
        <n v="0.99480158048780509" u="1"/>
        <n v="0.87227322080742276" u="1"/>
        <n v="0.91357348837209307" u="1"/>
        <n v="0.53368684210526307" u="1"/>
        <n v="0.24875852999999992" u="1"/>
        <n v="0.49873398994871809" u="1"/>
        <n v="0.17259005882352987" u="1"/>
        <n v="0.74898825387424739" u="1"/>
        <n v="0.79163631578947369" u="1"/>
        <n v="0.61905263157894741" u="1"/>
        <n v="0.88485374722222276" u="1"/>
        <n v="0.85895562105263168" u="1"/>
        <n v="0.87094444444444441" u="1"/>
        <n v="0.9192583720930233" u="1"/>
        <n v="0.75573503333333336" u="1"/>
        <n v="0.86022789473684214" u="1"/>
        <n v="0.94344092389695" u="1"/>
        <n v="0.95435294117647063" u="1"/>
        <n v="0.92918315789473704" u="1"/>
        <n v="0.3633764705882353" u="1"/>
        <n v="0.79916651162790697" u="1"/>
        <n v="0.91046104210526313" u="1"/>
        <n v="0.34486576470588326" u="1"/>
        <n v="0.91948896666666646" u="1"/>
        <n v="0.45650769230769234" u="1"/>
        <n v="0.87008632222222215" u="1"/>
        <n v="0.5208732667368422" u="1"/>
        <n v="0.34486576470588393" u="1"/>
        <n v="0.59235000000000004" u="1"/>
        <n v="0.5199468611111111" u="1"/>
        <n v="0.88181158611111066" u="1"/>
        <n v="0.99745279069767434" u="1"/>
        <n v="0.45330227682051283" u="1"/>
        <n v="0.75011439534883717" u="1"/>
        <n v="0.40133873361165051" u="1"/>
        <n v="0.79199102439024405" u="1"/>
        <n v="0.85429108421052646" u="1"/>
        <n v="0.43580734899999851" u="1"/>
        <n v="0.64811538461538465" u="1"/>
        <n v="0.76357892682926831" u="1"/>
        <n v="0.90168788865857274" u="1"/>
        <n v="0.92583326666666665" u="1"/>
        <n v="0.92054091402625604" u="1"/>
        <n v="0.77840292172539727" u="1"/>
        <n v="0.94341176470588239" u="1"/>
        <n v="0.64666666666666661" u="1"/>
        <n v="0.94354046511627909" u="1"/>
        <n v="0.74357894736842101" u="1"/>
        <n v="0.65238095238095239" u="1"/>
        <n v="0.56789999999999996" u="1"/>
        <n v="0.69807977083485062" u="1"/>
        <n v="0.61629629629629634" u="1"/>
        <n v="0.81186457407955781" u="1"/>
        <n v="0.4889288298947369" u="1"/>
        <n v="0.97285559174809988" u="1"/>
        <n v="0.71599999999999997" u="1"/>
        <n v="0.86625419444444451" u="1"/>
        <n v="0.42610000000000003" u="1"/>
        <n v="0.93537706666666676" u="1"/>
        <n v="0.67926587301587305" u="1"/>
        <n v="0.7256111111111111" u="1"/>
        <n v="0.58736720930232555" u="1"/>
        <n v="0.85708544390243901" u="1"/>
        <n v="0.11855754500000031" u="1"/>
        <n v="0.87875860465116273" u="1"/>
        <n v="0.80548833021052635" u="1"/>
        <n v="0.57722551111111087" u="1"/>
        <n v="0.66556842105263159" u="1"/>
        <n v="0.31908137209302323" u="1"/>
        <n v="0.62333333333333329" u="1"/>
        <n v="0.80876370588235302" u="1"/>
        <n v="0.92591846018947366" u="1"/>
        <n v="0.92466562666666663" u="1"/>
        <n v="0.82199947368421056" u="1"/>
        <n v="0.4159724117647059" u="1"/>
        <n v="0.91649392952324549" u="1"/>
        <n v="0.20805188235294117" u="1"/>
        <n v="0.43185185185185188" u="1"/>
        <n v="0.83314583984210544" u="1"/>
        <n v="0.88469067441860461" u="1"/>
        <n v="0.65352684210526313" u="1"/>
        <n v="0.53126578947368419" u="1"/>
        <n v="0.25595645699999975" u="1"/>
        <n v="0.54272303888888895" u="1"/>
        <n v="0.97255555555555551" u="1"/>
        <n v="0.84311944444444442" u="1"/>
        <n v="0.94995558187740603" u="1"/>
        <n v="0.67138888888888892" u="1"/>
        <n v="0.96880860724508933" u="1"/>
        <n v="0.53222222222222226" u="1"/>
        <n v="0.74593555555555557" u="1"/>
        <n v="0.30284358999999866" u="1"/>
        <n v="0.30284358999999872" u="1"/>
        <n v="0.38857239233009716" u="1"/>
        <n v="0.93724011978947408" u="1"/>
        <n v="0.77622097560975623" u="1"/>
        <n v="0.85919069767441858" u="1"/>
        <n v="0.57165999999999995" u="1"/>
        <n v="0.85708069767441863" u="1"/>
        <n v="0.95741639999999995" u="1"/>
        <n v="0.90597937222222213" u="1"/>
        <n v="0.9841437750000005" u="1"/>
        <n v="0.66933333333333334" u="1"/>
        <n v="0.9917802933333334" u="1"/>
        <n v="0.28000314999999981" u="1"/>
        <n v="0.28000314999999987" u="1"/>
        <n v="0.89359391965255153" u="1"/>
        <n v="0.98550222222222228" u="1"/>
        <n v="0.50888888888888884" u="1"/>
        <n v="0.92705557200671207" u="1"/>
        <n v="0.73866666666666669" u="1"/>
        <n v="0.64920682430410059" u="1"/>
        <n v="0.85786444444444443" u="1"/>
        <n v="0.59089857115789479" u="1"/>
        <n v="0.94590859737439537" u="1"/>
        <n v="0.75405395348837201" u="1"/>
        <n v="0.80574246315789488" u="1"/>
        <n v="0.42282168488349509" u="1"/>
        <n v="0.60442307692307695" u="1"/>
        <n v="0.8037706050735367" u="1"/>
        <n v="0.17055374000000001" u="1"/>
        <n v="0.66263157894736846" u="1"/>
        <n v="0.81837923206001384" u="1"/>
        <n v="0.92328944444444438" u="1"/>
        <n v="0.85500441860465115" u="1"/>
        <n v="0.95051666666666668" u="1"/>
        <n v="0.68065476190476193" u="1"/>
        <n v="0.25293176999999978" u="1"/>
        <n v="0.32931747058823529" u="1"/>
        <n v="0.25293176999999994" u="1"/>
        <n v="0.55557869388421055" u="1"/>
        <n v="0.40235294117647058" u="1"/>
        <n v="0.44472001904761904" u="1"/>
        <n v="0.64127368421052633" u="1"/>
        <n v="0.73004230232558143" u="1"/>
        <n v="0.71533333333333338" u="1"/>
        <n v="0.88396055555555564" u="1"/>
        <n v="0.69907604651162791" u="1"/>
        <n v="0.54499133333333327" u="1"/>
        <n v="0.81555555555555559" u="1"/>
        <n v="0.85634079894736848" u="1"/>
        <n v="0.53252943888888882" u="1"/>
        <n v="0.92300858750370152" u="1"/>
        <n v="0.24109981200000064" u="1"/>
        <n v="0.44129999999999997" u="1"/>
        <n v="0.52400000000000002" u="1"/>
        <n v="0.86945900317894731" u="1"/>
        <n v="0.16185605300000097" u="1"/>
        <n v="0.85682352941176465" u="1"/>
        <n v="0.71465629053177693" u="1"/>
        <n v="0.9117324" u="1"/>
        <n v="0.65129053658536573" u="1"/>
        <n v="0.7944930731707317" u="1"/>
        <n v="0.81433224755700329" u="1"/>
        <n v="0.85399999999999998" u="1"/>
        <n v="0.86361111111111111" u="1"/>
        <n v="0.77387315789473687" u="1"/>
        <n v="0.59333333333333338" u="1"/>
        <n v="0.5606878074871795" u="1"/>
        <n v="0.99417629059322865" u="1"/>
        <n v="0.95730280555555591" u="1"/>
        <n v="0.78948809756097549" u="1"/>
        <n v="0.40064672897087378" u="1"/>
        <n v="0.10801755200000039" u="1"/>
        <n v="0.76133333333333331" u="1"/>
        <n v="0.11899999999999999" u="1"/>
        <n v="0.82105555555555554" u="1"/>
        <n v="0.93591709268292689" u="1"/>
        <n v="0.81353372093023257" u="1"/>
        <n v="0.72552651694736847" u="1"/>
        <n v="0.84429367777777775" u="1"/>
        <n v="0.91896160300069096" u="1"/>
        <n v="0.79795495555555562" u="1"/>
        <n v="0.71286028292682935" u="1"/>
        <n v="0.77682361069983219" u="1"/>
        <n v="0.88077777777777777" u="1"/>
        <n v="0.9335702299871681" u="1"/>
        <n v="0.11833310000000048" u="1"/>
        <n v="0.56999999999999995" u="1"/>
        <n v="0.68558461538461546" u="1"/>
        <n v="0.38210603044660202" u="1"/>
        <n v="0.64054572378802221" u="1"/>
        <n v="0.77886368421052632" u="1"/>
        <n v="0.19625800999999959" u="1"/>
        <n v="0.80938888888888894" u="1"/>
        <n v="0.30114358999999874" u="1"/>
        <n v="0.96196585555555492" u="1"/>
        <n v="0.94436466666666663" u="1"/>
        <n v="0.68373015873015874" u="1"/>
        <n v="0.92654953488372094" u="1"/>
        <n v="0.14766666666666667" u="1"/>
        <n v="0.68944444444444442" u="1"/>
        <n v="0.61049833894736827" u="1"/>
        <n v="0.58852368421052637" u="1"/>
        <n v="0.43933333333333335" u="1"/>
        <n v="0.86259994077583657" u="1"/>
        <n v="0.88833333333333331" u="1"/>
        <n v="0.89501358947368426" u="1"/>
        <n v="0.74284473684210528" u="1"/>
        <n v="0.73507057546145493" u="1"/>
        <n v="0.99780232558139537" u="1"/>
        <n v="0.26039627999999965" u="1"/>
        <n v="0.91650628333333328" u="1"/>
        <n v="0.87666666666666671" u="1"/>
        <n v="0.91491461849768041" u="1"/>
        <n v="0.89826521611290799" u="1"/>
        <n v="0.3602036049611651" u="1"/>
        <n v="0.79308651578947376" u="1"/>
        <n v="0.89588888888888885" u="1"/>
        <n v="0.46408324652631583" u="1"/>
        <n v="0.7162222222222222" u="1"/>
        <n v="0.6272625581395348" u="1"/>
        <n v="0.24094066199999817" u="1"/>
        <n v="9.1546352941174955E-2" u="1"/>
        <n v="0.42344615384615386" u="1"/>
        <n v="0.92417649999999973" u="1"/>
        <n v="0.7048672222222222" u="1"/>
        <n v="0.59388105263157898" u="1"/>
        <n v="0.73378947368421055" u="1"/>
        <n v="0.78085951219512206" u="1"/>
        <n v="0.86886069767441865" u="1"/>
        <n v="0.83884348837209299" u="1"/>
        <n v="0.79918403902439017" u="1"/>
        <n v="0.23459420588235763" u="1"/>
        <n v="0.58715442926829275" u="1"/>
        <n v="0.90386719999999987" u="1"/>
        <n v="0.63547823529411773" u="1"/>
        <n v="0.93848444444444445" u="1"/>
        <n v="0.95231324210526314" u="1"/>
        <n v="0.89201460862698645" u="1"/>
        <n v="0.9384179707317073" u="1"/>
        <n v="0.71268631578947372" u="1"/>
        <n v="0.24057744117647573" u="1"/>
        <n v="0.90662323561346359" u="1"/>
        <n v="0.72884210526315785" u="1"/>
        <n v="0.14876250000000105" u="1"/>
        <n v="0.98169266666666666" u="1"/>
        <n v="0.92142183414634127" u="1"/>
        <n v="0.78333826868028822" u="1"/>
        <n v="0.88224864444444429" u="1"/>
        <n v="0.25644882999999979" u="1"/>
        <n v="0.63982839469220787" u="1"/>
        <n v="0.76222222222222225" u="1"/>
        <n v="0.92871033333333253" u="1"/>
        <n v="0.60074074074074069" u="1"/>
        <n v="0.96160296000000001" u="1"/>
        <n v="0.78020552728723935" u="1"/>
        <n v="0.83565294640213206" u="1"/>
        <n v="0.70044444444444443" u="1"/>
        <n v="0.76251502777777791" u="1"/>
        <n v="0.67111589268292682" u="1"/>
        <n v="0.93735837209302331" u="1"/>
        <n v="0.89933333333333332" u="1"/>
        <n v="0.78266368421052634" u="1"/>
        <n v="8.2666666666666666E-2" u="1"/>
        <n v="0.63231421052631576" u="1"/>
        <n v="0.39440588235294116" u="1"/>
        <n v="0.6791666666666667" u="1"/>
        <n v="0.72430209302325577" u="1"/>
        <n v="0.9287793333333334" u="1"/>
        <n v="0.9365399767441861" u="1"/>
        <n v="0.83746421052631581" u="1"/>
        <n v="0.99227200000000004" u="1"/>
        <n v="0.17435880000000126" u="1"/>
        <n v="0.78586860465116282" u="1"/>
        <n v="9.1333333333333336E-2" u="1"/>
        <n v="0.98670588235294121" u="1"/>
        <n v="0.74850000000000005" u="1"/>
        <n v="0.88572112610526332" u="1"/>
        <n v="0.56389292118521051" u="1"/>
        <n v="0.98898042666666675" u="1"/>
        <n v="0.7478716279069767" u="1"/>
        <n v="0.86207466666666677" u="1"/>
        <n v="0.57431578947368422" u="1"/>
        <n v="0.59121370000000029" u="1"/>
        <n v="0.7119616279069767" u="1"/>
        <n v="0.79311421052631581" u="1"/>
        <n v="0.613578947368421" u="1"/>
        <n v="0.77721315789473677" u="1"/>
        <n v="0.18626935294117572" u="1"/>
        <n v="0.92729411764705882" u="1"/>
        <n v="0.84668185365853676" u="1"/>
        <n v="0.45862707810526299" u="1"/>
        <n v="0.62433370588238712" u="1"/>
        <n v="0.94533333333333336" u="1"/>
        <n v="0.88345487039999981" u="1"/>
        <n v="0.19305828200000022" u="1"/>
        <n v="0.25442788799999977" u="1"/>
        <n v="0.64840866008181186" u="1"/>
        <n v="0.9231327906976744" u="1"/>
        <n v="0.34148887000000011" u="1"/>
        <n v="0.74215541176478494" u="1"/>
        <n v="0.83499999999999996" u="1"/>
        <n v="0.65481481481481485" u="1"/>
        <n v="0.48560000000000003" u="1"/>
        <n v="0.81711677071578948" u="1"/>
        <n v="0.87792545365853658" u="1"/>
        <n v="0.98006093333333333" u="1"/>
        <n v="0.73729088235301776" u="1"/>
        <n v="0.77322222222222226" u="1"/>
        <n v="0.58105263157894738" u="1"/>
        <n v="0.55060624444444473" u="1"/>
        <n v="0.76019689756097553" u="1"/>
        <n v="0.82755897739611095" u="1"/>
        <n v="0.72712760650503838" u="1"/>
        <n v="0.8850770634146341" u="1"/>
        <n v="0.7924444444444444" u="1"/>
        <n v="0.91635294117647059" u="1"/>
        <n v="0.53351226856410261" u="1"/>
        <n v="0.89678939999999996" u="1"/>
        <n v="0.65479635294117655" u="1"/>
        <n v="0.87562925673674863" u="1"/>
        <n v="0.86177777777777775" u="1"/>
        <n v="0.93609123333333322" u="1"/>
        <n v="0.47690096111111102" u="1"/>
        <n v="7.5839999999999991E-2" u="1"/>
        <n v="0.67810263157894746" u="1"/>
        <n v="0.69604574634146343" u="1"/>
        <n v="0.82946607222222235" u="1"/>
        <n v="0.75186840975609759" u="1"/>
        <n v="0.85059071052631607" u="1"/>
        <n v="0.91333530747211533" u="1"/>
        <n v="0.26096037000000011" u="1"/>
        <n v="0.54640555437948712" u="1"/>
        <n v="0.8" u="1"/>
        <n v="0.67942602325581392" u="1"/>
        <n v="0.86747278048780496" u="1"/>
        <n v="0.38190768899999994" u="1"/>
        <n v="0.14382618399999952" u="1"/>
        <n v="0.70417325581395351" u="1"/>
        <n v="0.74716108933775505" u="1"/>
        <n v="0.22238255882353292" u="1"/>
        <n v="0.60541945000000008" u="1"/>
        <n v="0.81549593005728072" u="1"/>
        <n v="0.17193625600000012" u="1"/>
        <n v="0.37137606699999792" u="1"/>
        <n v="0.92953651162790696" u="1"/>
        <n v="0.12839258199999951" u="1"/>
        <n v="0.80465896752541699" u="1"/>
        <n v="0.71213627906976751" u="1"/>
        <n v="0.6620044444444444" u="1"/>
        <n v="0.46898594117647063" u="1"/>
        <n v="0.96235294117647063" u="1"/>
        <n v="0.14000000000000001" u="1"/>
        <n v="0.72260789473684206" u="1"/>
        <n v="0.93993606315789469" u="1"/>
        <n v="0.69688421052631577" u="1"/>
        <n v="0.97768631578947351" u="1"/>
        <n v="0.84461736842105262" u="1"/>
        <n v="0.67800000000000005" u="1"/>
        <n v="0.90777777777777779" u="1"/>
        <n v="0.57189473684210523" u="1"/>
        <n v="0.58022578947368419" u="1"/>
        <n v="0.82972509444444453" u="1"/>
        <n v="0.71329473684210531" u="1"/>
        <n v="0.69765722222222226" u="1"/>
        <n v="0.89043529760142137" u="1"/>
        <n v="0.69722222222222219" u="1"/>
        <n v="0.53355699444444449" u="1"/>
        <n v="0.99054626666666667" u="1"/>
        <n v="0.89611111111111108" u="1"/>
        <n v="0.78956888754899002" u="1"/>
        <n v="0.78175895765472314" u="1"/>
        <n v="0.93874328421052633" u="1"/>
        <n v="0.88908206976744186" u="1"/>
        <n v="0.27819835294117651" u="1"/>
        <n v="0.75318697674418611" u="1"/>
        <n v="0.67308261770802491" u="1"/>
        <n v="0.98019999999999996" u="1"/>
        <n v="0.70477777777777773" u="1"/>
        <n v="0.69193564307570821" u="1"/>
        <n v="0.29076923076923078" u="1"/>
        <n v="0.1915904100000001" u="1"/>
        <n v="0.60421414634146342" u="1"/>
        <n v="0.90787536000000002" u="1"/>
        <n v="0.89447368421052653" u="1"/>
        <n v="0.55955778333333328" u="1"/>
        <n v="0.96483388292682926" u="1"/>
        <n v="0.66276052631578952" u="1"/>
        <n v="0.96367460000000005" u="1"/>
        <n v="0.16945298999999978" u="1"/>
        <n v="0.1694529899999998" u="1"/>
        <n v="0.73793684210526311" u="1"/>
        <n v="0.14566666666666667" u="1"/>
        <n v="0.95172222222222225" u="1"/>
        <n v="0.93335325581395345" u="1"/>
        <n v="0.53566551712820509" u="1"/>
        <n v="0.79200372093023252" u="1"/>
        <n v="0.60148148148148151" u="1"/>
        <n v="0.70389333333333337" u="1"/>
        <n v="0.70882023255813953" u="1"/>
        <n v="0.73444429411770762" u="1"/>
        <n v="0.79451009302325581" u="1"/>
        <n v="0.80071906976744189" u="1"/>
        <n v="0.77" u="1"/>
        <n v="0.85728581395348846" u="1"/>
        <n v="0.59383431957894739" u="1"/>
        <n v="0.73982262439024382" u="1"/>
        <n v="0.57134615384615384" u="1"/>
        <n v="0.64057539682539677" u="1"/>
        <n v="0.68921072195121946" u="1"/>
        <n v="0.74471083902439006" u="1"/>
        <n v="0.93799999999999994" u="1"/>
        <n v="0.5500437944444444" u="1"/>
        <n v="0.78830625581395342" u="1"/>
        <n v="0.7709323023255813" u="1"/>
        <n v="0.1341093000000004" u="1"/>
        <n v="0.7973754146341463" u="1"/>
        <n v="0.73771480253240884" u="1"/>
        <n v="0.53195169444444457" u="1"/>
        <n v="0.98929411764705877" u="1"/>
        <n v="0.88474614444444455" u="1"/>
        <n v="0.77755555555555556" u="1"/>
        <n v="0.14605662999999999" u="1"/>
        <n v="0.80431578947368421" u="1"/>
        <n v="0.46583292484210537" u="1"/>
        <n v="0.49793822063157889" u="1"/>
        <n v="0.11000874120000001" u="1"/>
        <n v="0.84564888888888889" u="1"/>
        <n v="0.59210526315789469" u="1"/>
        <n v="0.18558588000000001" u="1"/>
        <n v="0.79677777777777781" u="1"/>
        <n v="0.35344627999999839" u="1"/>
        <n v="0.90692277777777786" u="1"/>
        <n v="0.76487707692307694" u="1"/>
        <n v="0.2307240800000003" u="1"/>
        <n v="0.57738307692307689" u="1"/>
        <n v="0.28267250599999882" u="1"/>
        <n v="0.87766753333333292" u="1"/>
        <n v="0.92065976744186051" u="1"/>
        <n v="0.79940308947368421" u="1"/>
        <n v="0.77928500000000001" u="1"/>
        <n v="0.56164326111111107" u="1"/>
        <n v="0.4127777777777778" u="1"/>
        <n v="0.55103076923076921" u="1"/>
        <n v="0.52297585555555548" u="1"/>
        <n v="0.79637648837209307" u="1"/>
        <n v="0.72148149417894747" u="1"/>
        <n v="0.91175599644655014" u="1"/>
        <n v="0.65848548338820712" u="1"/>
        <n v="0.28810810810810811" u="1"/>
        <n v="0.9802789789473686" u="1"/>
        <n v="0.84789186046511622" u="1"/>
        <n v="0.98117647058823532" u="1"/>
        <n v="0.85444444444444445" u="1"/>
        <n v="0.14277762699999952" u="1"/>
        <n v="0.78422663113216862" u="1"/>
        <n v="0.81105263157894736" u="1"/>
        <n v="0.72403538461538453" u="1"/>
        <n v="0.8235555555555556" u="1"/>
        <n v="0.93838319999999997" u="1"/>
        <n v="9.4541060000000149E-2" u="1"/>
        <n v="0.93945997674418613" u="1"/>
        <n v="0.83654130885401246" u="1"/>
        <n v="0.6719450588235294" u="1"/>
        <n v="0.85033994999999996" u="1"/>
        <n v="0.94547905365853624" u="1"/>
        <n v="0.81913526315789476" u="1"/>
        <n v="0.7855931357876883" u="1"/>
        <n v="0.79202206976744183" u="1"/>
        <n v="0.99097199999999996" u="1"/>
        <n v="0.25836513399999989" u="1"/>
        <n v="0.75911395348837207" u="1"/>
        <n v="0.88885598657585629" u="1"/>
        <n v="0.97874773333333331" u="1"/>
        <n v="0.74671799427499752" u="1"/>
        <n v="0.90346461356233343" u="1"/>
        <n v="0.77168684210526317" u="1"/>
        <n v="0.62055555555555553" u="1"/>
        <n v="0.92231763893001673" u="1"/>
        <n v="0.96787066666666666" u="1"/>
        <n v="0.77262284878048804" u="1"/>
        <n v="0.81944444444444442" u="1"/>
        <n v="0.81035141463414628" u="1"/>
        <n v="0.63084629789473678" u="1"/>
        <n v="0.74858458823537044" u="1"/>
        <n v="0.79903267199684136" u="1"/>
        <n v="0.32466666666666666" u="1"/>
        <n v="0.17267797600000045" u="1"/>
        <n v="0.9364372666666666" u="1"/>
        <n v="0.57512894736842113" u="1"/>
        <n v="0.86169744186046515" u="1"/>
        <n v="0.11039376000000001" u="1"/>
        <n v="0.48679070588235707" u="1"/>
        <n v="0.88271678947368437" u="1"/>
        <n v="0.93673753333333332" u="1"/>
        <n v="0.70496495903662026" u="1"/>
        <n v="0.46985432276923061" u="1"/>
        <n v="0.77272837618041901" u="1"/>
        <n v="0.36159611696116506" u="1"/>
        <n v="0.96032368421052616" u="1"/>
        <n v="0.64777116279069769" u="1"/>
        <n v="0.77397268315789491" u="1"/>
        <n v="0.89410000000000001" u="1"/>
        <n v="0.39741335349514578" u="1"/>
        <n v="0.66655555555555557" u="1"/>
        <n v="0.94890725853658553" u="1"/>
        <n v="0.38665957099999859" u="1"/>
        <n v="0.91827065442700617" u="1"/>
        <n v="0.7987490315789475" u="1"/>
        <n v="0.8779946279069768" u="1"/>
        <n v="0.86389162790697671" u="1"/>
        <n v="0.92157048692631549" u="1"/>
        <n v="0.93712367979468958" u="1"/>
        <n v="0.30054547058823528" u="1"/>
        <n v="0.88752837209302327" u="1"/>
        <n v="0.64201236589473676" u="1"/>
        <n v="0.88282625581395346" u="1"/>
        <n v="0.95173230678116671" u="1"/>
        <n v="0.56163855555555553" u="1"/>
        <n v="0.84580067777777779" u="1"/>
        <n v="0.7301052631578947" u="1"/>
        <n v="0.70499999999999996" u="1"/>
        <n v="0.97058533214885001" u="1"/>
        <n v="0.68079618536585362" u="1"/>
        <n v="0.40102170588235292" u="1"/>
        <n v="0.50646108421052616" u="1"/>
        <n v="0.95003229444443649" u="1"/>
        <n v="0.16174933999999999" u="1"/>
        <n v="0.56313982352941183" u="1"/>
        <n v="0.77148157894736835" u="1"/>
        <n v="0.13620463000000002" u="1"/>
        <n v="0.92162759999999999" u="1"/>
        <n v="0.88954229148289721" u="1"/>
        <n v="0.89537064455631232" u="1"/>
        <n v="0.66296296296296298" u="1"/>
        <n v="0.71255555555555561" u="1"/>
        <n v="0.65572927906976752" u="1"/>
        <n v="0.53288888888888886" u="1"/>
        <n v="0.76266666666666671" u="1"/>
        <n v="0.56658841666666648" u="1"/>
        <n v="0.92883229691047275" u="1"/>
        <n v="0.51510348837209308" u="1"/>
        <n v="0.23099435294117648" u="1"/>
        <n v="0.7436222222222223" u="1"/>
        <n v="0.64156852941176468" u="1"/>
        <n v="0.94027777777777777" u="1"/>
        <n v="0.33958941176470592" u="1"/>
        <n v="0.9350075317073171" u="1"/>
        <n v="0.96312031111111107" u="1"/>
        <n v="0.41433780421359212" u="1"/>
        <n v="0.94165051707317071" u="1"/>
        <n v="0.77022222222222225" u="1"/>
        <n v="0.97388944444444436" u="1"/>
        <n v="0.72972222222222227" u="1"/>
        <n v="0.50589748355789488" u="1"/>
        <n v="0.98291813953488372" u="1"/>
        <n v="0.73933333333333329" u="1"/>
        <n v="0.96911111111111115" u="1"/>
        <n v="0.99123992195121979" u="1"/>
        <n v="0.76481794117647051" u="1"/>
        <n v="0.93952880000000005" u="1"/>
        <n v="0.9735974833333334" u="1"/>
        <n v="0.78944444444444439" u="1"/>
        <n v="0.62750526315789479" u="1"/>
        <n v="0.62631775578947357" u="1"/>
        <n v="0.93822222222222218" u="1"/>
        <n v="0.69871315789473676" u="1"/>
        <n v="0.76892015384615386" u="1"/>
        <n v="0.90593228703977891" u="1"/>
        <n v="0.65621526315789469" u="1"/>
        <n v="0.74648083168421064" u="1"/>
        <n v="0.9366843777777768" u="1"/>
        <n v="0.65333860465116289" u="1"/>
        <n v="0.95744444444444443" u="1"/>
        <n v="0.72756774831578941" u="1"/>
        <n v="0.65447574448421064" u="1"/>
        <n v="0.72850965853658534" u="1"/>
        <n v="0.77777777777777779" u="1"/>
        <n v="0.25189091999999996" u="1"/>
        <n v="0.55537777777777775" u="1"/>
        <n v="0.73077315789473685" u="1"/>
        <n v="0.95345618536585353" u="1"/>
        <n v="0.8803293149073802" u="1"/>
        <n v="0.625541052631579" u="1"/>
        <n v="0.80150034547428683" u="1"/>
        <n v="0.47305384615384616" u="1"/>
        <n v="0.56776052631578955" u="1"/>
        <n v="0.91916865069473697" u="1"/>
        <n v="0.36446413999999833" u="1"/>
        <n v="0.38366288990291264" u="1"/>
        <n v="0.58592592592592596" u="1"/>
        <n v="0.36446413999999849" u="1"/>
        <n v="0.57782115000000001" u="1"/>
        <n v="0.83496199782844738" u="1"/>
        <n v="0.90346935609756085" u="1"/>
        <n v="0.38780779368932039" u="1"/>
        <n v="0.39722094117647061" u="1"/>
        <n v="0.99331661463414622" u="1"/>
        <n v="0.84957062481492451" u="1"/>
        <n v="0.55878222222222218" u="1"/>
        <n v="0.88453802105263146" u="1"/>
        <n v="0.78533333333333333" u="1"/>
        <n v="0.96699171250526306" u="1"/>
        <n v="0.85555122222222235" u="1"/>
        <n v="0.45073306757894727" u="1"/>
        <n v="0.80455555555555558" u="1"/>
        <n v="0.98468581395348842" u="1"/>
        <n v="0.78325139534883725" u="1"/>
        <n v="0.92073832790445165" u="1"/>
        <n v="0.59399999999999997" u="1"/>
        <n v="0.95762233333333324" u="1"/>
        <n v="0.21170181200000018" u="1"/>
        <n v="0.92291686111111026" u="1"/>
        <n v="0.95419998025861219" u="1"/>
        <n v="0.92820439534883714" u="1"/>
        <n v="0.97925671219512189" u="1"/>
        <n v="0.66333333333333333" u="1"/>
        <n v="0.41052307692307693" u="1"/>
        <n v="0.60568421052631582" u="1"/>
        <n v="0.80159395121951216" u="1"/>
        <n v="0.79747531707317076" u="1"/>
        <n v="0.92062822105263153" u="1"/>
        <n v="0.71352579069767441" u="1"/>
        <n v="0.38431672324271843" u="1"/>
        <n v="0.51055474995789463" u="1"/>
        <n v="0.70002184837229631" u="1"/>
        <n v="0.7496757457846952" u="1"/>
        <n v="0.61604789268292681" u="1"/>
        <n v="0.76178894117655527" u="1"/>
        <n v="0.72150631578947377" u="1"/>
        <n v="0.84600297222222209" u="1"/>
        <n v="0.19475721200000046" u="1"/>
        <n v="0.76168975609756084" u="1"/>
        <n v="0.77328164878048788" u="1"/>
        <n v="0.91669134340144109" u="1"/>
        <n v="0.77455335110058232" u="1"/>
        <n v="0.94854454572184654" u="1"/>
        <n v="0.21836744199999999" u="1"/>
        <n v="0.37711954614563115" u="1"/>
        <n v="0.84850000000000003" u="1"/>
        <n v="0.66883333333333328" u="1"/>
        <n v="0.55365526315789482" u="1"/>
        <n v="0.707179046511628" u="1"/>
        <n v="0.85811111111111116" u="1"/>
        <n v="0.92975902222221662" u="1"/>
        <n v="0.62646684210526316" u="1"/>
        <n v="0.68234126984126986" u="1"/>
        <n v="0.90261078947368401" u="1"/>
        <n v="0.65654615384615389" u="1"/>
      </sharedItems>
    </cacheField>
    <cacheField name="Estimated Unoccupied CBM" numFmtId="0">
      <sharedItems containsString="0" containsBlank="1" containsNumber="1" minValue="0" maxValue="10756.328100000001"/>
    </cacheField>
    <cacheField name="Forecasted occupancy CBM" numFmtId="0">
      <sharedItems containsNonDate="0" containsString="0" containsBlank="1"/>
    </cacheField>
    <cacheField name="Sellable CBM" numFmtId="1">
      <sharedItems containsSemiMixedTypes="0" containsString="0" containsNumber="1" minValue="0" maxValue="11176.328100000001"/>
    </cacheField>
    <cacheField name="DC2" numFmtId="0">
      <sharedItems/>
    </cacheField>
    <cacheField name="measurement" numFmtId="0">
      <sharedItems/>
    </cacheField>
    <cacheField name="Capacity" numFmtId="0">
      <sharedItems containsSemiMixedTypes="0" containsString="0" containsNumber="1" containsInteger="1" minValue="100" maxValue="2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hruhan Sivalogithan" refreshedDate="45128.407602777777" createdVersion="5" refreshedVersion="8" minRefreshableVersion="3" recordCount="6" xr:uid="{00000000-000A-0000-FFFF-FFFF55000000}">
  <cacheSource type="worksheet">
    <worksheetSource ref="AIK1:AIR7" sheet="All WH"/>
  </cacheSource>
  <cacheFields count="8">
    <cacheField name="Occupancy" numFmtId="1">
      <sharedItems containsSemiMixedTypes="0" containsString="0" containsNumber="1" minValue="0" maxValue="8773.6718999999994"/>
    </cacheField>
    <cacheField name="Utilization %" numFmtId="9">
      <sharedItems containsSemiMixedTypes="0" containsString="0" containsNumber="1" minValue="0" maxValue="0.72438162790697669"/>
    </cacheField>
    <cacheField name="Estimated Unoccupied CBM" numFmtId="1">
      <sharedItems containsSemiMixedTypes="0" containsString="0" containsNumber="1" minValue="53.560633300000141" maxValue="10756.328100000001"/>
    </cacheField>
    <cacheField name="Forecasted occupancy CBM" numFmtId="1">
      <sharedItems containsNonDate="0" containsString="0" containsBlank="1"/>
    </cacheField>
    <cacheField name="Sellable CBM" numFmtId="1">
      <sharedItems containsSemiMixedTypes="0" containsString="0" containsNumber="1" minValue="58.560633300000141" maxValue="11176.328100000001"/>
    </cacheField>
    <cacheField name="DC" numFmtId="164">
      <sharedItems count="21">
        <s v="Orugodawatta DC"/>
        <s v="Orugodawatta DC Cold Room "/>
        <s v="Peliyagoda DC"/>
        <s v="Expo Global Freeport "/>
        <s v="Hirdaramani Knit Client Warehouse"/>
        <s v="Hirdaramani Woven Client Warehouse "/>
        <s v="UK" u="1"/>
        <s v="KFC" u="1"/>
        <s v="EGF" u="1"/>
        <s v="PFC" u="1"/>
        <s v="Kandana DC - Main WH" u="1"/>
        <s v="Ja Ela" u="1"/>
        <s v="Expo Global Freeport DC" u="1"/>
        <s v="Expo Global Freeport -  Hidramani Woven" u="1"/>
        <s v="Kandana DC" u="1"/>
        <s v="Expo Global Freeport -  Mercury Plant" u="1"/>
        <s v="Cold Room Orugodawatta DC" u="1"/>
        <s v="LPPL" u="1"/>
        <s v="Kandana " u="1"/>
        <s v="OFC" u="1"/>
        <s v="Nuge Rd" u="1"/>
      </sharedItems>
    </cacheField>
    <cacheField name="measurement" numFmtId="0">
      <sharedItems count="2">
        <s v="CBM"/>
        <s v="SqFT" u="1"/>
      </sharedItems>
    </cacheField>
    <cacheField name="Capacity" numFmtId="0">
      <sharedItems containsSemiMixedTypes="0" containsString="0" containsNumber="1" containsInteger="1" minValue="100" maxValue="2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hruhan Sivalogithan" refreshedDate="45128.407603587963" createdVersion="5" refreshedVersion="8" minRefreshableVersion="3" recordCount="8" xr:uid="{00000000-000A-0000-FFFF-FFFF51000000}">
  <cacheSource type="worksheet">
    <worksheetSource ref="AIJ1:AIS9" sheet="All WH"/>
  </cacheSource>
  <cacheFields count="10">
    <cacheField name="DC" numFmtId="0">
      <sharedItems count="25">
        <s v="Orugodawatta DC"/>
        <s v="Orugodawatta DC Cold Room "/>
        <s v="Peliyagoda DC"/>
        <s v="Expo Global Freeport "/>
        <s v="Hirdaramani Knit Client Warehouse"/>
        <s v="Hirdaramani Woven Client Warehouse "/>
        <s v="Kandana DC"/>
        <s v="Nestle - Main DC"/>
        <s v="KFC" u="1"/>
        <s v="EGF" u="1"/>
        <s v="PFC" u="1"/>
        <s v="Kandana DC - Main WH" u="1"/>
        <s v="Ja Ela" u="1"/>
        <s v="Expo Global Freeport DC" u="1"/>
        <s v="Expo Global Freeport -  Hidramani Woven" u="1"/>
        <s v="Expo Global Freeport -  Mercury Plant" u="1"/>
        <s v="Cold Room Orugodawatta DC" u="1"/>
        <s v="Kandana DC -  WH No 02" u="1"/>
        <s v="LPPL" u="1"/>
        <s v="BIPL" u="1"/>
        <s v="Kandana " u="1"/>
        <s v="Kandana DC - Chemical store" u="1"/>
        <s v="OFC" u="1"/>
        <s v="Kandana DC - Second WH" u="1"/>
        <s v="Nuge Rd" u="1"/>
      </sharedItems>
    </cacheField>
    <cacheField name="Occupancy" numFmtId="1">
      <sharedItems containsSemiMixedTypes="0" containsString="0" containsNumber="1" minValue="0" maxValue="9169"/>
    </cacheField>
    <cacheField name="Utilization %" numFmtId="9">
      <sharedItems containsSemiMixedTypes="0" containsString="0" containsNumber="1" minValue="0" maxValue="1" count="4315">
        <n v="0.46968139294174771"/>
        <n v="0.36439366699999859"/>
        <n v="0.60055033170731698"/>
        <n v="0.4177939"/>
        <n v="0"/>
        <n v="0.72438162790697669"/>
        <n v="1"/>
        <n v="0.90504392458789851"/>
        <n v="0.68523672222222209" u="1"/>
        <n v="0.3840685589999997" u="1"/>
        <n v="0.6166666666666667" u="1"/>
        <n v="0.98438047368421044" u="1"/>
        <n v="0.67020789473684217" u="1"/>
        <n v="0.90124181052631569" u="1"/>
        <n v="0.1077678460000001" u="1"/>
        <n v="0.75284210526315787" u="1"/>
        <n v="0.8541713055555552" u="1"/>
        <n v="0.75137765000000012" u="1"/>
        <n v="0.75165334122988847" u="1"/>
        <n v="0.44819563809523816" u="1"/>
        <n v="0.91264435889843054" u="1"/>
        <n v="0.68600000000000005" u="1"/>
        <n v="0.32403370588235852" u="1"/>
        <n v="0.91677279069767448" u="1"/>
        <n v="0.96588888888888891" u="1"/>
        <n v="0.94836773333333335" u="1"/>
        <n v="0.61915789473684213" u="1"/>
        <n v="0.94610601125259108" u="1"/>
        <n v="0.62744888888888883" u="1"/>
        <n v="0.6609312352941521" u="1"/>
        <n v="0.17080289000000001" u="1"/>
        <n v="0.7553333333333333" u="1"/>
        <n v="7.6999999999999999E-2" u="1"/>
        <n v="0.57742105263157895" u="1"/>
        <n v="0.77219888888888888" u="1"/>
        <n v="0.79421866111111106" u="1"/>
        <n v="0.82748870555555554" u="1"/>
        <n v="5.5115117647058266E-2" u="1"/>
        <n v="0.63098630769230768" u="1"/>
        <n v="0.67643865363735067" u="1"/>
        <n v="0.85427058947368417" u="1"/>
        <n v="0.8013994333333333" u="1"/>
        <n v="0.83742967130589285" u="1"/>
        <n v="0.64211023255813959" u="1"/>
        <n v="0.88939775789473696" u="1"/>
        <n v="0.73405555555555557" u="1"/>
        <n v="0.94136215384615385" u="1"/>
        <n v="0.7529890731707316" u="1"/>
        <n v="0.89244444444444448" u="1"/>
        <n v="0.8533964780487806" u="1"/>
        <n v="0.13997724699999967" u="1"/>
        <n v="0.86515810555555572" u="1"/>
        <n v="0.604391052631579" u="1"/>
        <n v="0.66568461538461532" u="1"/>
        <n v="0.96615593071578942" u="1"/>
        <n v="0.78635775609756098" u="1"/>
        <n v="0.75299736842105269" u="1"/>
        <n v="0.98889067441860468" u="1"/>
        <n v="0.84559372093023255" u="1"/>
        <n v="0.75122222222222224" u="1"/>
        <n v="0.7870062634146342" u="1"/>
        <n v="0.80133333333333334" u="1"/>
        <n v="0.69667418604651166" u="1"/>
        <n v="0.38815416262135927" u="1"/>
        <n v="0.60602842105263166" u="1"/>
        <n v="0.97552067910374096" u="1"/>
        <n v="0.99966388888888891" u="1"/>
        <n v="0.9901293060902181" u="1"/>
        <n v="0.4910106666666666" u="1"/>
        <n v="0.76464676916892771" u="1"/>
        <n v="0.95965406666666664" u="1"/>
        <n v="0.22729198000000037" u="1"/>
        <n v="0.42650769230769231" u="1"/>
        <n v="0.65257936507936509" u="1"/>
        <n v="0.71189333333333338" u="1"/>
        <n v="0.86684433915704273" u="1"/>
        <n v="0.77889858139534884" u="1"/>
        <n v="0.67787813550526321" u="1"/>
        <n v="0.40812581054368924" u="1"/>
        <n v="0.80317460317460321" u="1"/>
        <n v="0.94605270243902417" u="1"/>
        <n v="0.80596847804878058" u="1"/>
        <n v="0.90030599151120327" u="1"/>
        <n v="0.2929433469999998" u="1"/>
        <n v="0.77800000000000002" u="1"/>
        <n v="0.64740740740740743" u="1"/>
        <n v="0.33944615384615384" u="1"/>
        <n v="0.60243315789473695" u="1"/>
        <n v="0.73114811627906984" u="1"/>
        <n v="0.79539414634146344" u="1"/>
        <n v="0.70920897560975604" u="1"/>
        <n v="0.83194604651162785" u="1"/>
        <n v="0.61703703703703705" u="1"/>
        <n v="0.88990903157894741" u="1"/>
        <n v="0.73352214634146351" u="1"/>
        <n v="0.82007185000000005" u="1"/>
        <n v="0.14369924000000128" u="1"/>
        <n v="0.66834468463132957" u="1"/>
        <n v="0.90241511578947375" u="1"/>
        <n v="0.94035294117647061" u="1"/>
        <n v="0.67525527222222215" u="1"/>
        <n v="0.99729411764705878" u="1"/>
        <n v="0.91842105263157892" u="1"/>
        <n v="0.72123842105263158" u="1"/>
        <n v="0.5356441999999999" u="1"/>
        <n v="0.93925071219512191" u="1"/>
        <n v="0.80788279069767444" u="1"/>
        <n v="0.3877846699029126" u="1"/>
        <n v="0.7206593623531734" u="1"/>
        <n v="0.87740598164050931" u="1"/>
        <n v="0.3821841399999984" u="1"/>
        <n v="0.88165038002171547" u="1"/>
        <n v="0.54733777777777781" u="1"/>
        <n v="0.97663225555554689" u="1"/>
        <n v="0.48450528943589749" u="1"/>
        <n v="0.77388888888888885" u="1"/>
        <n v="0.89722626666666672" u="1"/>
        <n v="0.51839462790697677" u="1"/>
        <n v="0.73449372466195717" u="1"/>
        <n v="0.91511203237587602" u="1"/>
        <n v="0.98249839999999999" u="1"/>
        <n v="0.56333333333333335" u="1"/>
        <n v="0.92710653333333337" u="1"/>
        <n v="0.87815628292682923" u="1"/>
        <n v="0.9427340333333335" u="1"/>
        <n v="0.88887395136842107" u="1"/>
        <n v="0.9641648266666667" u="1"/>
        <n v="0.4483692307692308" u="1"/>
        <n v="0.64544467476063572" u="1"/>
        <n v="0.64297631578947367" u="1"/>
        <n v="0.61179782222222223" u="1"/>
        <n v="0.86244444444444446" u="1"/>
        <n v="0.45083076923076926" u="1"/>
        <n v="0.32111111111111112" u="1"/>
        <n v="0.99791039999999998" u="1"/>
        <n v="0.54010987777777775" u="1"/>
        <n v="7.982148E-2" u="1"/>
        <n v="0.70148148148148148" u="1"/>
        <n v="9.2975697999999996E-2" u="1"/>
        <n v="7.0333333333333331E-2" u="1"/>
        <n v="0.89305997777777801" u="1"/>
        <n v="0.79307921951219507" u="1"/>
        <n v="0.6778160284210526" u="1"/>
        <n v="0.85245277777777773" u="1"/>
        <n v="0.40534117647058826" u="1"/>
        <n v="0.78528441860465115" u="1"/>
        <n v="0.97369240000000001" u="1"/>
        <n v="0.58669927747368422" u="1"/>
        <n v="0.87191529331397832" u="1"/>
        <n v="7.9000000000000001E-2" u="1"/>
        <n v="0.91106504787286546" u="1"/>
        <n v="0.76389473684210529" u="1"/>
        <n v="0.9201111111111111" u="1"/>
        <n v="0.32010588235294113" u="1"/>
        <n v="0.9388973444444354" u="1"/>
        <n v="0.375" u="1"/>
        <n v="0.54919490469473686" u="1"/>
        <n v="0.99830107692307701" u="1"/>
        <n v="0.75719232558139538" u="1"/>
        <n v="0.81699733491264437" u="1"/>
        <n v="0.85801878947368426" u="1"/>
        <n v="0.18276831199999954" u="1"/>
        <n v="0.72607160975609752" u="1"/>
        <n v="0.54099023888888886" u="1"/>
        <n v="0.74887758156240647" u="1"/>
        <n v="0.66386781463414646" u="1"/>
        <n v="0.85170464444444449" u="1"/>
        <n v="0.88093365263157886" u="1"/>
        <n v="0.74937947368421043" u="1"/>
        <n v="0.73810927804878046" u="1"/>
        <n v="0.96952936000000001" u="1"/>
        <n v="0.99785869333333332" u="1"/>
        <n v="0.81954365079365077" u="1"/>
        <n v="0.86980710243902426" u="1"/>
        <n v="0.73633333333333328" u="1"/>
        <n v="0.92020353846153846" u="1"/>
        <n v="0.78545589268292682" u="1"/>
        <n v="0.65533333333333332" u="1"/>
        <n v="0.40176461538461533" u="1"/>
        <n v="0.99091277777777775" u="1"/>
        <n v="0.66494444444444445" u="1"/>
        <n v="0.75555555555555554" u="1"/>
        <n v="0.86837204743702834" u="1"/>
        <n v="0.85552388372093024" u="1"/>
        <n v="0.406214589223301" u="1"/>
        <n v="0.80230720975609759" u="1"/>
        <n v="0.26846906999999953" u="1"/>
        <n v="0.79164333333333337" u="1"/>
        <n v="0.9746670944444441" u="1"/>
        <n v="0.39248566473786417" u="1"/>
        <n v="0.6747221052631579" u="1"/>
        <n v="0.98736146666666669" u="1"/>
        <n v="0.82951562222222242" u="1"/>
        <n v="0.86526502813147765" u="1"/>
        <n v="0.87706581395348837" u="1"/>
        <n v="0.86340438048780466" u="1"/>
        <n v="0.94465462790697674" u="1"/>
        <n v="0.70133333333333336" u="1"/>
        <n v="0.91757970585332149" u="1"/>
        <n v="0.6215559902439024" u="1"/>
        <n v="0.6768296222222222" u="1"/>
        <n v="0.30611111111111111" u="1"/>
        <n v="0.36808626650485438" u="1"/>
        <n v="0.96481773333333332" u="1"/>
        <n v="0.71947894736842111" u="1"/>
        <n v="0.97851253333333332" u="1"/>
        <n v="0.38194168539805828" u="1"/>
        <n v="0.87458959999999997" u="1"/>
        <n v="0.89498418604651153" u="1"/>
        <n v="0.83514617894736842" u="1"/>
        <n v="0.73977777777777776" u="1"/>
        <n v="0.74658285942332636" u="1"/>
        <n v="0.38825166999999994" u="1"/>
        <n v="0.98394426666666668" u="1"/>
        <n v="0.4125242704174758" u="1"/>
        <n v="0.89694117647058824" u="1"/>
        <n v="0.8612180436284671" u="1"/>
        <n v="0.81800824037785147" u="1"/>
        <n v="0.3823188823529447" u="1"/>
        <n v="0.92979240000000007" u="1"/>
        <n v="0.97470482666666658" u="1"/>
        <n v="0.64814814814814814" u="1"/>
        <n v="0.74324188523766455" u="1"/>
        <n v="0.2252800849999981" u="1"/>
        <n v="0.59860684210526316" u="1"/>
        <n v="0.69890873015873012" u="1"/>
        <n v="0.82800293684210513" u="1"/>
        <n v="0.85456837209302317" u="1"/>
        <n v="0.10249035294117646" u="1"/>
        <n v="0.7860033560359293" u="1"/>
        <n v="0.62284210526315786" u="1"/>
        <n v="0.91601573333333342" u="1"/>
        <n v="0.74068883720930234" u="1"/>
        <n v="0.81666666666666665" u="1"/>
        <n v="0.8706483804878048" u="1"/>
        <n v="0.8208418604651162" u="1"/>
        <n v="0.81946500839008984" u="1"/>
        <n v="0.55600000000000005" u="1"/>
        <n v="0.91205585555555158" u="1"/>
        <n v="0.46296296296296297" u="1"/>
        <n v="0.75099206349206349" u="1"/>
        <n v="0.10869452" u="1"/>
        <n v="0.47498461538461539" u="1"/>
        <n v="0.51421538461538463" u="1"/>
        <n v="0.61511538461538462" u="1"/>
        <n v="0.9615408975609756" u="1"/>
        <n v="0.97735494634146303" u="1"/>
        <n v="0.51913846153846155" u="1"/>
        <n v="0.97467500000000007" u="1"/>
        <n v="0.79333333333333333" u="1"/>
        <n v="0.90948573684730039" u="1"/>
        <n v="0.27449358823529413" u="1"/>
        <n v="0.79158429268292674" u="1"/>
        <n v="0.76734774454644161" u="1"/>
        <n v="0.72251969756097556" u="1"/>
        <n v="0.84625413658536586" u="1"/>
        <n v="0.58277777777777773" u="1"/>
        <n v="0.89726883720930228" u="1"/>
        <n v="0.99734217777777767" u="1"/>
        <n v="0.99042546666666664" u="1"/>
        <n v="0.62299421052631576" u="1"/>
        <n v="0.10277025999999999" u="1"/>
        <n v="0.58733578947368414" u="1"/>
        <n v="0.721189736585366" u="1"/>
        <n v="0.36113749644660192" u="1"/>
        <n v="0.64883315789473683" u="1"/>
        <n v="0.75604325581395349" u="1"/>
        <n v="0.86692090697674418" u="1"/>
        <n v="0.46409330555555556" u="1"/>
        <n v="0.93152206666666681" u="1"/>
        <n v="0.93973752777777775" u="1"/>
        <n v="0.32410011764705882" u="1"/>
        <n v="0.9910176685420985" u="1"/>
        <n v="0.88968253968253963" u="1"/>
        <n v="0.89149999999999996" u="1"/>
        <n v="0.52393107705263153" u="1"/>
        <n v="0.62307131707317076" u="1"/>
        <n v="0.78549336525990221" u="1"/>
        <n v="0.86149015000000018" u="1"/>
        <n v="0.79195907777777808" u="1"/>
        <n v="0.87058197222222222" u="1"/>
        <n v="0.86773270160892313" u="1"/>
        <n v="0.97645888888888877" u="1"/>
        <n v="0.77247784390243901" u="1"/>
        <n v="7.7357019999999999E-2" u="1"/>
        <n v="0.90119435396308356" u="1"/>
        <n v="0.67557894736842106" u="1"/>
        <n v="0.90444030555555521" u="1"/>
        <n v="0.81954652777777781" u="1"/>
        <n v="0.3965965655339807" u="1"/>
        <n v="0.82169534883720929" u="1"/>
        <n v="0.80005093023255813" u="1"/>
        <n v="0.86816666666666664" u="1"/>
        <n v="0.89542291482897185" u="1"/>
        <n v="0.94711111111111113" u="1"/>
        <n v="0.86368571710591258" u="1"/>
        <n v="0.72694444444444439" u="1"/>
        <n v="0.47833333333333333" u="1"/>
        <n v="0.69210346511627907" u="1"/>
        <n v="0.10800199999999993" u="1"/>
        <n v="0.5297185105263158" u="1"/>
        <n v="0.89452631578947372" u="1"/>
        <n v="0.31685764705882891" u="1"/>
        <n v="0.65555555555555556" u="1"/>
        <n v="0.39600705882352938" u="1"/>
        <n v="0.88533333333333331" u="1"/>
        <n v="0.88415449873684226" u="1"/>
        <n v="0.59294524589473674" u="1"/>
        <n v="0.69295672093023264" u="1"/>
        <n v="0.62518518518518518" u="1"/>
        <n v="0.72703383414634148" u="1"/>
        <n v="0.8426429333333334" u="1"/>
        <n v="0.97675362105263119" u="1"/>
        <n v="0.2949846153846154" u="1"/>
        <n v="0.33859447058823527" u="1"/>
        <n v="0.77500000000000002" u="1"/>
        <n v="0.95487040000000001" u="1"/>
        <n v="0.82737639444444444" u="1"/>
        <n v="0.69399999999999995" u="1"/>
        <n v="0.89478815384615373" u="1"/>
        <n v="0.94686602926829266" u="1"/>
        <n v="0.60416263157894734" u="1"/>
        <n v="0.91906723333333318" u="1"/>
        <n v="0.98648315789473684" u="1"/>
        <n v="0.65144046511627907" u="1"/>
        <n v="0.76333333333333331" u="1"/>
        <n v="0.25512991999999995" u="1"/>
        <n v="0.93807441052631568" u="1"/>
        <n v="0.85963873260290202" u="1"/>
        <n v="0.79941176470588238" u="1"/>
        <n v="0.50266666666666671" u="1"/>
        <n v="0.87424735958937916" u="1"/>
        <n v="0.73244444444444445" u="1"/>
        <n v="0.96747029268292684" u="1"/>
        <n v="0.88973868333333361" u="1"/>
        <n v="0.93133333333333335" u="1"/>
        <n v="0.79216666666666669" u="1"/>
        <n v="0.58355781702085208" u="1"/>
        <n v="0.91047058823529414" u="1"/>
        <n v="0.71116666666666661" u="1"/>
        <n v="0.9674117647058823" u="1"/>
        <n v="0.92680754999999992" u="1"/>
        <n v="0.85396825396825393" u="1"/>
        <n v="0.46723389915789476" u="1"/>
        <n v="0.61126315789473684" u="1"/>
        <n v="0.90251466666666658" u="1"/>
        <n v="0.96016666666666661" u="1"/>
        <n v="0.64353082777777793" u="1"/>
        <n v="0.94541506267890629" u="1"/>
        <n v="0.74" u="1"/>
        <n v="0.79454578947368426" u="1"/>
        <n v="0.83191833285263161" u="1"/>
        <n v="0.97938888888888886" u="1"/>
        <n v="0.67315789473684207" u="1"/>
        <n v="0.93818534883720928" u="1"/>
        <n v="0.70962962962962961" u="1"/>
        <n v="0.93379767777777767" u="1"/>
        <n v="0.92365069767441854" u="1"/>
        <n v="0.92628358888888884" u="1"/>
        <n v="0.80933333333333335" u="1"/>
        <n v="0.68422052631578945" u="1"/>
        <n v="0.86645343333333347" u="1"/>
        <n v="9.1032979999999847E-2" u="1"/>
        <n v="0.84949434146341452" u="1"/>
        <n v="0.125" u="1"/>
        <n v="0.70853488372093021" u="1"/>
        <n v="0.89952941176470591" u="1"/>
        <n v="0.88675421052631564" u="1"/>
        <n v="0.90366202744052904" u="1"/>
        <n v="0.84777777777777774" u="1"/>
        <n v="5.5E-2" u="1"/>
        <n v="0.53700000000000003" u="1"/>
        <n v="0.80922619047619049" u="1"/>
        <n v="0.36813275899999987" u="1"/>
        <n v="0.72490393800000019" u="1"/>
        <n v="0.76238084444444432" u="1"/>
        <n v="0.34171852941176473" u="1"/>
        <n v="0.78656854378947383" u="1"/>
        <n v="0.88796558139534887" u="1"/>
        <n v="0.94136807817589574" u="1"/>
        <n v="0.96169333333333085" u="1"/>
        <n v="0.99737280000000006" u="1"/>
        <n v="0.75710576585365841" u="1"/>
        <n v="0.74493746341463407" u="1"/>
        <n v="0.86380139534883726" u="1"/>
        <n v="0.15641058000000041" u="1"/>
        <n v="0.70154407011578956" u="1"/>
        <n v="0.3333176470588235" u="1"/>
        <n v="0.95113767441860464" u="1"/>
        <n v="0.66438788372093027" u="1"/>
        <n v="0.82444444444444442" u="1"/>
        <n v="0.69998904651162797" u="1"/>
        <n v="0.69955356097560972" u="1"/>
        <n v="0.99964705882352944" u="1"/>
        <n v="0.81277777777777782" u="1"/>
        <n v="0.45166666666666666" u="1"/>
        <n v="0.82427413658536586" u="1"/>
        <n v="0.93307669529167903" u="1"/>
        <n v="0.32133333333333336" u="1"/>
        <n v="0.12377879299999936" u="1"/>
        <n v="0.95972684999999991" u="1"/>
        <n v="0.97078274602704573" u="1"/>
        <n v="0.80205631578947367" u="1"/>
        <n v="0.14667237899999958" u="1"/>
        <n v="0.67155555555555557" u="1"/>
        <n v="0.90133333333333332" u="1"/>
        <n v="0.81057180182896194" u="1"/>
        <n v="0.96986166666666662" u="1"/>
        <n v="0.72944623414634147" u="1"/>
        <n v="0.73996913387368424" u="1"/>
        <n v="0.17384785" u="1"/>
        <n v="0.14667237899999999" u="1"/>
        <n v="0.70407667317073175" u="1"/>
        <n v="0.4913384615384615" u="1"/>
        <n v="0.36555653333009724" u="1"/>
        <n v="0.72651670588235295" u="1"/>
        <n v="0.15103505882352941" u="1"/>
        <n v="0.91442108380219134" u="1"/>
        <n v="0.94400078287368405" u="1"/>
        <n v="0.92842277777777782" u="1"/>
        <n v="0.81995277777777775" u="1"/>
        <n v="0.92902971078866847" u="1"/>
        <n v="0.59603174603174602" u="1"/>
        <n v="0.69759157894736845" u="1"/>
        <n v="0.878" u="1"/>
        <n v="0.32347058823529412" u="1"/>
        <n v="0.69833333333333336" u="1"/>
        <n v="0.9624913631428289" u="1"/>
        <n v="0.88761111111111113" u="1"/>
        <n v="0.51866666666666672" u="1"/>
        <n v="0.96673576152403518" u="1"/>
        <n v="0.89722222222222225" u="1"/>
        <n v="0.68666666666666665" u="1"/>
        <n v="0.14369618399999953" u="1"/>
        <n v="0.85805942157733683" u="1"/>
        <n v="0.70178488372093029" u="1"/>
        <n v="0.97724040000000001" u="1"/>
        <n v="0.10966666666666666" u="1"/>
        <n v="0.66492263157894738" u="1"/>
        <n v="0.78776904651162794" u="1"/>
        <n v="0.75600000000000001" u="1"/>
        <n v="0.90612970091797451" u="1"/>
        <n v="0.98577777777777775" u="1"/>
        <n v="0.67941821666666669" u="1"/>
        <n v="0.8094858139534884" u="1"/>
        <n v="0.33260662299999888" u="1"/>
        <n v="0.89750093023255817" u="1"/>
        <n v="0.97461522222221419" u="1"/>
        <n v="0.76783001673684204" u="1"/>
        <n v="0.33261623529412043" u="1"/>
        <n v="0.92054952777777743" u="1"/>
        <n v="0.60077688873684221" u="1"/>
        <n v="0.669047619047619" u="1"/>
        <n v="0.71344444444444444" u="1"/>
        <n v="0.93095260487804854" u="1"/>
        <n v="0.5337777777777778" u="1"/>
        <n v="0.41476294999999797" u="1"/>
        <n v="0.92525549333333323" u="1"/>
        <n v="0.62523076923076926" u="1"/>
        <n v="0.86962096585365845" u="1"/>
        <n v="0.5838888888888889" u="1"/>
        <n v="0.68255555555555558" u="1"/>
        <n v="0.41476294999999824" u="1"/>
        <n v="0.52962556666666649" u="1"/>
        <n v="0.71636509302325579" u="1"/>
        <n v="0.98643391219512189" u="1"/>
        <n v="0.70177777777777772" u="1"/>
        <n v="0.93155555555555558" u="1"/>
        <n v="0.82848743611111153" u="1"/>
        <n v="0.75188888888888894" u="1"/>
        <n v="0.80148148148148146" u="1"/>
        <n v="0.57222222222222219" u="1"/>
        <n v="0.92019229333333341" u="1"/>
        <n v="0.10039955199999995" u="1"/>
        <n v="0.80200000000000005" u="1"/>
        <n v="0.18159517647058823" u="1"/>
        <n v="0.92600736842105258" u="1"/>
        <n v="0.92093574178264737" u="1"/>
        <n v="0.35909301439805835" u="1"/>
        <n v="0.59215421052631578" u="1"/>
        <n v="0.99692658888888863" u="1"/>
        <n v="0.17079288999999986" u="1"/>
        <n v="0.97" u="1"/>
        <n v="0.9108393600000001" u="1"/>
        <n v="0.56055555555555558" u="1"/>
        <n v="0.61066666666666669" u="1"/>
        <n v="0.17079289000000025" u="1"/>
        <n v="0.79994444444444446" u="1"/>
        <n v="0.17079289000000042" u="1"/>
        <n v="0.79839277777777773" u="1"/>
        <n v="0.82947631578947367" u="1"/>
        <n v="0.61472418604651158" u="1"/>
        <n v="0.96968760000000009" u="1"/>
        <n v="0.82877777777777772" u="1"/>
        <n v="0.4887907692307692" u="1"/>
        <n v="0.85189219999999988" u="1"/>
        <n v="0.44268461538461534" u="1"/>
        <n v="0.77087065365853658" u="1"/>
        <n v="0.50017463888888869" u="1"/>
        <n v="0.16153152941176468" u="1"/>
        <n v="0.88444237777777668" u="1"/>
        <n v="0.74070252682926829" u="1"/>
        <n v="0.90821692725263159" u="1"/>
        <n v="0.71173619512195119" u="1"/>
        <n v="0.94623166666666658" u="1"/>
        <n v="0.67807539682539686" u="1"/>
        <n v="0.13022712000000075" u="1"/>
        <n v="0.59116641666666658" u="1"/>
        <n v="0.71085486046511637" u="1"/>
        <n v="0.16268575399999999" u="1"/>
        <n v="0.78740027368421051" u="1"/>
        <n v="0.84338959601052643" u="1"/>
        <n v="0.51366437052631586" u="1"/>
        <n v="0.82082722222222215" u="1"/>
        <n v="0.43908575133980565" u="1"/>
        <n v="0.51074603333333324" u="1"/>
        <n v="0.46410464444444449" u="1"/>
        <n v="0.92201127639999991" u="1"/>
        <n v="0.53618128333333337" u="1"/>
        <n v="0.96989930232558141" u="1"/>
        <n v="0.38621538461538463" u="1"/>
        <n v="0.61813647243157888" u="1"/>
        <n v="0.33023058823529416" u="1"/>
        <n v="0.56722666666666666" u="1"/>
        <n v="0.63924887804878039" u="1"/>
        <n v="0.9385197365853658" u="1"/>
        <n v="0.28176052399999973" u="1"/>
        <n v="0.52385459999999995" u="1"/>
        <n v="0.73724212812160694" u="1"/>
        <n v="0.81008720930232558" u="1"/>
        <n v="0.83815053658536598" u="1"/>
        <n v="0.26890391999999802" u="1"/>
        <n v="0.95315169756097551" u="1"/>
        <n v="0.6333333333333333" u="1"/>
        <n v="0.81509396040598936" u="1"/>
        <n v="0.12139443" u="1"/>
        <n v="0.83101421052631586" u="1"/>
        <n v="0.91322222222222227" u="1"/>
        <n v="0.77070378047576749" u="1"/>
        <n v="0.80430526315789475" u="1"/>
        <n v="0.8322222222222222" u="1"/>
        <n v="0.93353534883720934" u="1"/>
        <n v="0.78306692682926826" u="1"/>
        <n v="0.80416543282992792" u="1"/>
        <n v="0.85144444444444445" u="1"/>
        <n v="0.94677408421052645" u="1"/>
        <n v="0.77610789473684205" u="1"/>
        <n v="0.97976507748494723" u="1"/>
        <n v="0.39738494383495138" u="1"/>
        <n v="0.96030966666666673" u="1"/>
        <n v="0.26411974999999804" u="1"/>
        <n v="0.67822633170731716" u="1"/>
        <n v="0.26411974999999821" u="1"/>
        <n v="0.8915294117647059" u="1"/>
        <n v="0.77797619047619049" u="1"/>
        <n v="0.8706666666666667" u="1"/>
        <n v="0.69099999999999995" u="1"/>
        <n v="0.97755819999999993" u="1"/>
        <n v="0.33452307692307692" u="1"/>
        <n v="0.87108873753824889" u="1"/>
        <n v="0.14033333333333334" u="1"/>
        <n v="0.66011111111111109" u="1"/>
        <n v="0.88001006315789465" u="1"/>
        <n v="0.84938888888888886" u="1"/>
        <n v="0.3664049529999997" u="1"/>
        <n v="0.9083080555555556" u="1"/>
        <n v="0.66972222222222222" u="1"/>
        <n v="7.9574139999999044E-2" u="1"/>
        <n v="0.97633360000000002" u="1"/>
        <n v="0.4133521399999987" u="1"/>
        <n v="0.67498999999999998" u="1"/>
        <n v="0.62168421052631584" u="1"/>
        <n v="0.73905555555555558" u="1"/>
        <n v="0.90922406315789472" u="1"/>
        <n v="0.7486666666666667" u="1"/>
        <n v="0.8746581052631579" u="1"/>
        <n v="0.76497388888888895" u="1"/>
        <n v="0.89744444444444449" u="1"/>
        <n v="0.8147270753133945" u="1"/>
        <n v="0.71777777777777774" u="1"/>
        <n v="0.34936800048543692" u="1"/>
        <n v="0.63897105263157894" u="1"/>
        <n v="0.70395789473684212" u="1"/>
        <n v="0.68034421052631588" u="1"/>
        <n v="0.83387222222222224" u="1"/>
        <n v="0.72892368421052622" u="1"/>
        <n v="0.86704175303523834" u="1"/>
        <n v="0.52592592592592591" u="1"/>
        <n v="0.88828300000000004" u="1"/>
        <n v="0.70722777777777779" u="1"/>
        <n v="0.75622222222222224" u="1"/>
        <n v="0.90050340538939888" u="1"/>
        <n v="0.61514069767441859" u="1"/>
        <n v="0.95133113953488369" u="1"/>
        <n v="0.95244277777777786" u="1"/>
        <n v="0.98424386666666663" u="1"/>
        <n v="0.60179558139534883" u="1"/>
        <n v="0.98051635789473701" u="1"/>
        <n v="0.66359528265263146" u="1"/>
        <n v="0.7230937500000002" u="1"/>
        <n v="0.6918922380667748" u="1"/>
        <n v="0.28250416999999806" u="1"/>
        <n v="0.70199999999999996" u="1"/>
        <n v="0.88906737566315808" u="1"/>
        <n v="0.50964278082051262" u="1"/>
        <n v="0.90968506666666671" u="1"/>
        <n v="0.86299476853222779" u="1"/>
        <n v="0.33249858823529727" u="1"/>
        <n v="0.81207918802130441" u="1"/>
        <n v="0.95539693333333342" u="1"/>
        <n v="0.89645642088638833" u="1"/>
        <n v="0.77133333333333332" u="1"/>
        <n v="0.77509920634920637" u="1"/>
        <n v="0.95703607586315798" u="1"/>
        <n v="0.95748139534883725" u="1"/>
        <n v="0.51066666666666671" u="1"/>
        <n v="0.56630769230769229" u="1"/>
        <n v="0.76823000000000008" u="1"/>
        <n v="0.92991807324054876" u="1"/>
        <n v="0.96117395348837209" u="1"/>
        <n v="0.81459149834187516" u="1"/>
        <n v="0.93942750243902429" u="1"/>
        <n v="0.15096970588235295" u="1"/>
        <n v="0.47625443885128194" u="1"/>
        <n v="0.77888888888888885" u="1"/>
        <n v="0.11413250000000005" u="1"/>
        <n v="0.71147837209302323" u="1"/>
        <n v="0.17311288235294162" u="1"/>
        <n v="0.748" u="1"/>
        <n v="0.63034615384615389" u="1"/>
        <n v="0.9117814666666666" u="1"/>
        <n v="0.56833333333333336" u="1"/>
        <n v="0.4079076923076923" u="1"/>
        <n v="0.11733333333333333" u="1"/>
        <n v="0.93731361666666657" u="1"/>
        <n v="0.37641400199999803" u="1"/>
        <n v="0.76722222222222225" u="1"/>
        <n v="0.81710380866244603" u="1"/>
        <n v="0.616504756631579" u="1"/>
        <n v="0.41036923076923076" u="1"/>
        <n v="0.90701806336985491" u="1"/>
        <n v="0.77906666666666669" u="1"/>
        <n v="0.6771547317073171" u="1"/>
        <n v="0.92862023255813952" u="1"/>
        <n v="0.67101488235298878" u="1"/>
        <n v="0.56715207810526336" u="1"/>
        <n v="0.127" u="1"/>
        <n v="0.81690116279069769" u="1"/>
        <n v="0.75994733888888921" u="1"/>
        <n v="0.85577777777777775" u="1"/>
        <n v="0.54862803165263174" u="1"/>
        <n v="0.16711311764705883" u="1"/>
        <n v="0.83891101463414641" u="1"/>
        <n v="0.31777777777777777" u="1"/>
        <n v="0.86084210526315785" u="1"/>
        <n v="0.38995317647058819" u="1"/>
        <n v="0.88116331707317064" u="1"/>
        <n v="0.880533488372093" u="1"/>
        <n v="0.79400000000000004" u="1"/>
        <n v="0.6130852631578948" u="1"/>
        <n v="0.84411111111111115" u="1"/>
        <n v="0.83120292115789463" u="1"/>
        <n v="0.66444444444444439" u="1"/>
        <n v="0.71276280722534791" u="1"/>
        <n v="0.56098257777777782" u="1"/>
        <n v="0.86333333333333329" u="1"/>
        <n v="0.11531106200000033" u="1"/>
        <n v="0.90297107886684436" u="1"/>
        <n v="0.10076864000000021" u="1"/>
        <n v="0.83244444444444443" u="1"/>
        <n v="0.84905266666666646" u="1"/>
        <n v="0.90320611111111104" u="1"/>
        <n v="0.92182410423452765" u="1"/>
        <n v="0.84479790697674417" u="1"/>
        <n v="0.98163534883720938" u="1"/>
        <n v="0.59153692307692307" u="1"/>
        <n v="0.88168008421052624" u="1"/>
        <n v="0.63957631578947371" u="1"/>
        <n v="0.55771052941176469" u="1"/>
        <n v="0.64249348837209308" u="1"/>
        <n v="0.17673403000000001" u="1"/>
        <n v="0.7807247368421053" u="1"/>
        <n v="0.92100000000000004" u="1"/>
        <n v="0.57920874155789481" u="1"/>
        <n v="0.81191157894736843" u="1"/>
        <n v="0.79742063492063497" u="1"/>
        <n v="0.84961111111111109" u="1"/>
        <n v="0.61786906976744183" u="1"/>
        <n v="0.83701999999999999" u="1"/>
        <n v="0.86883333333333335" u="1"/>
        <n v="0.81799627906976746" u="1"/>
        <n v="0.96905555555555556" u="1"/>
        <n v="0.60803571428571423" u="1"/>
        <n v="0.9177771197315171" u="1"/>
        <n v="0.99952941176470589" u="1"/>
        <n v="0.93021052631578949" u="1"/>
        <n v="0.9933280000000001" u="1"/>
        <n v="0.1365133669999995" u="1"/>
        <n v="0.96050273170731715" u="1"/>
        <n v="0.88275894736842131" u="1"/>
        <n v="0.16524488235294116" u="1"/>
        <n v="0.71799999999999997" u="1"/>
        <n v="0.59927269444444442" u="1"/>
        <n v="0.63492063492063489" u="1"/>
        <n v="0.88318452682926818" u="1"/>
        <n v="0.6559775000000001" u="1"/>
        <n v="0.6669627874839601" u="1"/>
        <n v="0.11272644000000012" u="1"/>
        <n v="0.50744444444444448" u="1"/>
        <n v="0.70239882926829267" u="1"/>
        <n v="0.82795380515250228" u="1"/>
        <n v="0.87403558139534887" u="1"/>
        <n v="0.79492263157894738" u="1"/>
        <n v="0.37529137330097079" u="1"/>
        <n v="0.90606773333333335" u="1"/>
        <n v="0.93816751111111119" u="1"/>
        <n v="0.41266153846153847" u="1"/>
        <n v="0.70042443983812064" u="1"/>
        <n v="0.36125965399029131" u="1"/>
        <n v="0.87834412631578918" u="1"/>
        <n v="0.59301368421052636" u="1"/>
        <n v="0.19792388235294117" u="1"/>
        <n v="0.6754444444444444" u="1"/>
        <n v="0.72555555555555551" u="1"/>
        <n v="0.99600317222222234" u="1"/>
        <n v="0.69466666666666665" u="1"/>
        <n v="0.11373479999999994" u="1"/>
        <n v="0.91373013522850655" u="1"/>
        <n v="0.70427777777777778" u="1"/>
        <n v="0.75955972747368417" u="1"/>
        <n v="0.11066666666666666" u="1"/>
        <n v="0.71388888888888891" u="1"/>
        <n v="0.84468444444444446" u="1"/>
        <n v="0.94366666666666665" u="1"/>
        <n v="0.80326315789473679" u="1"/>
        <n v="0.5033333333333333" u="1"/>
        <n v="0.61292000000000002" u="1"/>
        <n v="0.73311111111111116" u="1"/>
        <n v="0.83037069767441862" u="1"/>
        <n v="0.47092923076923077" u="1"/>
        <n v="0.7054488888888889" u="1"/>
        <n v="0.96531140000000004" u="1"/>
        <n v="0.52950417368421054" u="1"/>
        <n v="0.73121578947368426" u="1"/>
        <n v="0.57266666666666666" u="1"/>
        <n v="0.73065160975609755" u="1"/>
        <n v="0.85736847300365215" u="1"/>
        <n v="0.67185185185185181" u="1"/>
        <n v="0.87197709999012929" u="1"/>
        <n v="0.5417777777777778" u="1"/>
        <n v="0.77084578947368421" u="1"/>
        <n v="0.7982644440842106" u="1"/>
        <n v="0.8908301253578127" u="1"/>
        <n v="0.85403833333333334" u="1"/>
        <n v="0.47017470588236987" u="1"/>
        <n v="0.7406666666666667" u="1"/>
        <n v="0.90543875234428983" u="1"/>
        <n v="0.83127777777777778" u="1"/>
        <n v="0.56100000000000005" u="1"/>
        <n v="0.8956007707317073" u="1"/>
        <n v="0.61111111111111116" u="1"/>
        <n v="0.52866186111111102" u="1"/>
        <n v="0.39704189174757293" u="1"/>
        <n v="0.82356372093023256" u="1"/>
        <n v="0.85257936507936505" u="1"/>
        <n v="0.79074894736842105" u="1"/>
        <n v="0.71002253528421055" u="1"/>
        <n v="0.81974206349206347" u="1"/>
        <n v="0.55256000000000005" u="1"/>
        <n v="0.72886904761904758" u="1"/>
        <n v="0.81102139534883722" u="1"/>
        <n v="0.74315789473684213" u="1"/>
        <n v="0.9844265333333333" u="1"/>
        <n v="0.97799999999999998" u="1"/>
        <n v="0.46865256338461542" u="1"/>
        <n v="0.4945762735384614" u="1"/>
        <n v="0.1814775294117647" u="1"/>
        <n v="0.79833333333333334" u="1"/>
        <n v="0.58537497222222235" u="1"/>
        <n v="0.69789902439024387" u="1"/>
        <n v="0.58777777777777773" u="1"/>
        <n v="0.85555651162790702" u="1"/>
        <n v="0.60862788372093024" u="1"/>
        <n v="0.94234473684210518" u="1"/>
        <n v="0.78666666666666663" u="1"/>
        <n v="0.84002447368421063" u="1"/>
        <n v="0.45067692307692309" u="1"/>
        <n v="0.90139176784127928" u="1"/>
        <n v="0.58325232315789466" u="1"/>
        <n v="0.94051542439024383" u="1"/>
        <n v="0.80588888888888888" u="1"/>
        <n v="0.5793307151578948" u="1"/>
        <n v="0.91948978947368443" u="1"/>
        <n v="0.72592592592592597" u="1"/>
        <n v="0.98145888888888877" u="1"/>
        <n v="0.95039306666666667" u="1"/>
        <n v="0.87522222222222223" u="1"/>
        <n v="0.94576559999999998" u="1"/>
        <n v="0.87221254736842069" u="1"/>
        <n v="0.89821043157894742" u="1"/>
        <n v="0.95547166666666672" u="1"/>
        <n v="0.92726976585365839" u="1"/>
        <n v="0.7559555555555556" u="1"/>
        <n v="0.53060345555555566" u="1"/>
        <n v="0.34159682572815542" u="1"/>
        <n v="0.193262352941176" u="1"/>
        <n v="0.99585436842105279" u="1"/>
        <n v="0.10261988235294139" u="1"/>
        <n v="0.55731296666666663" u="1"/>
        <n v="0.8616071428571429" u="1"/>
        <n v="0.86639092307692311" u="1"/>
        <n v="0.53209332777777796" u="1"/>
        <n v="0.88273615635179148" u="1"/>
        <n v="0.29553417647058922" u="1"/>
        <n v="0.39805144514563101" u="1"/>
        <n v="0.78564701463414632" u="1"/>
        <n v="0.70311111111111113" u="1"/>
        <n v="0.95396406315789484" u="1"/>
        <n v="0.77405981640509325" u="1"/>
        <n v="0.75899631578947369" u="1"/>
        <n v="0.78292555555555554" u="1"/>
        <n v="0.90200000000000002" u="1"/>
        <n v="0.85292993888888891" u="1"/>
        <n v="0.55639341666666653" u="1"/>
        <n v="0.94965946106011256" u="1"/>
        <n v="0.65077484947191788" u="1"/>
        <n v="0.51177777777777778" u="1"/>
        <n v="0.59150894736842108" u="1"/>
        <n v="0.95903933333333335" u="1"/>
        <n v="0.70867684210526316" u="1"/>
        <n v="0.75714285714285712" u="1"/>
        <n v="0.62538670555555576" u="1"/>
        <n v="0.61848608210526312" u="1"/>
        <n v="0.95993069767441863" u="1"/>
        <n v="0.85944444444444446" u="1"/>
        <n v="0.38710018650485445" u="1"/>
        <n v="0.11266666666666666" u="1"/>
        <n v="0.5756775444444443" u="1"/>
        <n v="0.77928096736842134" u="1"/>
        <n v="0.80025940337224388" u="1"/>
        <n v="0.41954326085436894" u="1"/>
        <n v="0.76459517919999986" u="1"/>
        <n v="0.93246537768421045" u="1"/>
        <n v="0.85353206976744189" u="1"/>
        <n v="0.99580093023255822" u="1"/>
        <n v="0.9461910933333334" u="1"/>
        <n v="0.5612029932631577" u="1"/>
        <n v="0.93072466666666676" u="1"/>
        <n v="0.8186111948547885" u="1"/>
        <n v="0.63744008780487804" u="1"/>
        <n v="0.70861111111111108" u="1"/>
        <n v="0.49913846153846153" u="1"/>
        <n v="0.86087520000000006" u="1"/>
        <n v="0.71788736842105261" u="1"/>
        <n v="0.94278718604651157" u="1"/>
        <n v="0.66838116097560973" u="1"/>
        <n v="0.19667541176470629" u="1"/>
        <n v="0.76833333333333331" u="1"/>
        <n v="0.74099570986730523" u="1"/>
        <n v="0.5881481481481482" u="1"/>
        <n v="0.77807539682539684" u="1"/>
        <n v="0.66532395348837214" u="1"/>
        <n v="0.9828087333333333" u="1"/>
        <n v="0.87661111111111112" u="1"/>
        <n v="0.25411332999999986" u="1"/>
        <n v="0.50766666666666671" u="1"/>
        <n v="0.6596711111111111" u="1"/>
        <n v="0.56180555555555556" u="1"/>
        <n v="0.6759451189418616" u="1"/>
        <n v="0.90820773333333338" u="1"/>
        <n v="0.98154277777777776" u="1"/>
        <n v="0.99792715427894585" u="1"/>
        <n v="0.19410549000000074" u="1"/>
        <n v="8.1290639999998901E-2" u="1"/>
        <n v="0.87384804408421046" u="1"/>
        <n v="0.58322105263157897" u="1"/>
        <n v="0.75238145365853648" u="1"/>
        <n v="0.77212301587301591" u="1"/>
        <n v="8.1290639999998984E-2" u="1"/>
        <n v="8.5870999999997963E-2" u="1"/>
        <n v="8.1290639999998998E-2" u="1"/>
        <n v="0.34588882352941175" u="1"/>
        <n v="0.52955097222222214" u="1"/>
        <n v="0.64650209302325579" u="1"/>
        <n v="0.64621065473684214" u="1"/>
        <n v="0.46633546111111113" u="1"/>
        <n v="0.85419930232558139" u="1"/>
        <n v="0.90385944131872475" u="1"/>
        <n v="0.82833432631578929" u="1"/>
        <n v="0.89188704016842113" u="1"/>
        <n v="0.52785677178947377" u="1"/>
        <n v="0.71008906341463418" u="1"/>
        <n v="0.94156549205409146" u="1"/>
        <n v="0.73333333333333328" u="1"/>
        <n v="0.28448611799999862" u="1"/>
        <n v="0.39924244300970874" u="1"/>
        <n v="0.80883966876184776" u="1"/>
        <n v="0.88173429280000004" u="1"/>
        <n v="0.93222222222222217" u="1"/>
        <n v="0.71494736842105266" u="1"/>
        <n v="0.70296296296296301" u="1"/>
        <n v="0.70748947368421045" u="1"/>
        <n v="0.70312611111111112" u="1"/>
        <n v="0.78812877073170728" u="1"/>
        <n v="0.62350631578947369" u="1"/>
        <n v="0.84749777909387025" u="1"/>
        <n v="0.13567812999999998" u="1"/>
        <n v="0.45760153846153845" u="1"/>
        <n v="0.52508627906976746" u="1"/>
        <n v="0.85174217747507652" u="1"/>
        <n v="0.82363209756097555" u="1"/>
        <n v="0.91087325581395351" u="1"/>
        <n v="0.34133333333333332" u="1"/>
        <n v="0.9836261999999999" u="1"/>
        <n v="0.85127604651162792" u="1"/>
        <n v="0.74088888888888893" u="1"/>
        <n v="0.86391930232558145" u="1"/>
        <n v="0.60673526315789472" u="1"/>
        <n v="0.75049999999999994" u="1"/>
        <n v="0.84111111111111114" u="1"/>
        <n v="0.63991999999999993" u="1"/>
        <n v="0.75006499999999998" u="1"/>
        <n v="0.55749975637894766" u="1"/>
        <n v="0.80321092222222212" u="1"/>
        <n v="0.9609637578947372" u="1"/>
        <n v="0.57566611111111099" u="1"/>
        <n v="6.7666666666666667E-2" u="1"/>
        <n v="0.75709105263157894" u="1"/>
        <n v="0.66626842105263162" u="1"/>
        <n v="7.6333333333333336E-2" u="1"/>
        <n v="0.9175007833333334" u="1"/>
        <n v="0.81777777777777783" u="1"/>
        <n v="0.51656533888888878" u="1"/>
        <n v="0.55626923076923074" u="1"/>
        <n v="0.91865807222222229" u="1"/>
        <n v="0.65273526315789465" u="1"/>
        <n v="0.8811568453262264" u="1"/>
        <n v="0.99534826666666665" u="1"/>
        <n v="0.73857611111111121" u="1"/>
        <n v="0.93532893333333333" u="1"/>
        <n v="0.96883210526315777" u="1"/>
        <n v="0.18190449999999775" u="1"/>
        <n v="0.84605435789473682" u="1"/>
        <n v="0.39458241176470593" u="1"/>
        <n v="0.92771232195121944" u="1"/>
        <n v="0.66352325581395355" u="1"/>
        <n v="0.106" u="1"/>
        <n v="0.13064720000000066" u="1"/>
        <n v="0.90407320000000002" u="1"/>
        <n v="0.90633333333333332" u="1"/>
        <n v="0.82533333333333336" u="1"/>
        <n v="0.80811375609756109" u="1"/>
        <n v="0.42696153378640783" u="1"/>
        <n v="0.97891263157894737" u="1"/>
        <n v="0.82055078472016585" u="1"/>
        <n v="0.91253265000000006" u="1"/>
        <n v="0.98154180238870792" u="1"/>
        <n v="0.59473684210526312" u="1"/>
        <n v="0.991578947368421" u="1"/>
        <n v="0.56480418888888884" u="1"/>
        <n v="0.3372222222222222" u="1"/>
        <n v="0.48554365425263157" u="1"/>
        <n v="0.68411111111111111" u="1"/>
        <n v="0.72970311219512185" u="1"/>
        <n v="0.75734888888888896" u="1"/>
        <n v="0.48677777777777775" u="1"/>
        <n v="0.84250000000000003" u="1"/>
        <n v="0.25695011764706677" u="1"/>
        <n v="0.89240701111111098" u="1"/>
        <n v="0.47133333333333333" u="1"/>
        <n v="0.60608018536585362" u="1"/>
        <n v="0.64734635121951212" u="1"/>
        <n v="0.74195150243902452" u="1"/>
        <n v="0.93581260555555568" u="1"/>
        <n v="0.85864579069767444" u="1"/>
        <n v="0.57884210526315794" u="1"/>
        <n v="0.15116576470588236" u="1"/>
        <n v="0.51998156030769216" u="1"/>
        <n v="0.90390925853658544" u="1"/>
        <n v="0.8165038002171553" u="1"/>
        <n v="9.889973999999993E-2" u="1"/>
        <n v="0.67211602325581399" u="1"/>
        <n v="0.60806157894736845" u="1"/>
        <n v="0.58021772547368433" u="1"/>
        <n v="0.63928695348837206" u="1"/>
        <n v="0.92808743333333243" u="1"/>
        <n v="0.86881847793899913" u="1"/>
        <n v="0.19743352941176504" u="1"/>
        <n v="0.73972222222222217" u="1"/>
        <n v="0.88849999999999996" u="1"/>
        <n v="0.7493333333333333" u="1"/>
        <n v="0.65623828333333334" u="1"/>
        <n v="0.18141217647058822" u="1"/>
        <n v="0.80944920000000009" u="1"/>
        <n v="0.88388798926315781" u="1"/>
        <n v="0.67794444444444446" u="1"/>
        <n v="0.83862100000000028" u="1"/>
        <n v="0.54678913888888891" u="1"/>
        <n v="0.80148555555555556" u="1"/>
        <n v="0.45620756231578935" u="1"/>
        <n v="0.68755555555555559" u="1"/>
        <n v="0.71769441860465111" u="1"/>
        <n v="0.78917053658536584" u="1"/>
        <n v="0.81090575609756099" u="1"/>
        <n v="0.84280526829268299" u="1"/>
        <n v="0.50788888888888883" u="1"/>
        <n v="0.7364649756097561" u="1"/>
        <n v="0.73766666666666669" u="1"/>
        <n v="0.88396833333333336" u="1"/>
        <n v="0.85968421052631583" u="1"/>
        <n v="0.95391144390243887" u="1"/>
        <n v="0.34196888235294115" u="1"/>
        <n v="0.96589277777777771" u="1"/>
        <n v="0.62149526315789472" u="1"/>
        <n v="0.68165694117652109" u="1"/>
        <n v="0.83097736842105263" u="1"/>
        <n v="0.75648021463414628" u="1"/>
        <n v="0.79406532222222204" u="1"/>
        <n v="0.3725429499999981" u="1"/>
        <n v="0.89268589036842105" u="1"/>
        <n v="0.6855" u="1"/>
        <n v="0.75628673170731719" u="1"/>
        <n v="0.67312581395348836" u="1"/>
        <n v="0.60337526315789469" u="1"/>
        <n v="0.98760493333333332" u="1"/>
        <n v="0.84587944444444441" u="1"/>
        <n v="0.88362451880367188" u="1"/>
        <n v="0.9556452527777769" u="1"/>
        <n v="0.93260571388888824" u="1"/>
        <n v="0.75706666666666667" u="1"/>
        <n v="0.21378133999999982" u="1"/>
        <n v="0.76444444444444448" u="1"/>
        <n v="0.69521372093023248" u="1"/>
        <n v="0.62102578947368425" u="1"/>
        <n v="9.0666666666666673E-2" u="1"/>
        <n v="0.68962047804878057" u="1"/>
        <n v="0.97379311578947358" u="1"/>
        <n v="0.21993024999999833" u="1"/>
        <n v="0.84952666666666665" u="1"/>
        <n v="0.18031799300000123" u="1"/>
        <n v="0.96030492631578968" u="1"/>
        <n v="0.61849981852631564" u="1"/>
        <n v="0.21933402941176761" u="1"/>
        <n v="0.80288888888888887" u="1"/>
        <n v="9.9333333333333329E-2" u="1"/>
        <n v="0.27636829411764707" u="1"/>
        <n v="0.97165463055555568" u="1"/>
        <n v="0.64213708333333352" u="1"/>
        <n v="0.80255814634146339" u="1"/>
        <n v="0.16382167647058438" u="1"/>
        <n v="0.79550630769230768" u="1"/>
        <n v="0.93281922777777782" u="1"/>
        <n v="0.71858651663211925" u="1"/>
        <n v="0.87533313591945516" u="1"/>
        <n v="0.88826488372093027" u="1"/>
        <n v="0.66970369767441862" u="1"/>
        <n v="0.58066666666666666" u="1"/>
        <n v="0.59756421052631581" u="1"/>
        <n v="0.29390344799999962" u="1"/>
        <n v="0.4927757111111114" u="1"/>
        <n v="0.5441159888888889" u="1"/>
        <n v="0.38712350761165065" u="1"/>
        <n v="0.15767094600000001" u="1"/>
        <n v="0.19301399999999996" u="1"/>
        <n v="0.9465008390089823" u="1"/>
        <n v="0.94867227317073166" u="1"/>
        <n v="0.78762466944444476" u="1"/>
        <n v="0.9653538643766657" u="1"/>
        <n v="0.81774526315789475" u="1"/>
        <n v="0.75071823414634131" u="1"/>
        <n v="0.97996249136314284" u="1"/>
        <n v="0.94224799999999986" u="1"/>
        <n v="0.83782449906228407" u="1"/>
        <n v="0.4952452088820512" u="1"/>
        <n v="0.55733333333333335" u="1"/>
        <n v="0.7861978947368421" u="1"/>
        <n v="0.93100576000000002" u="1"/>
        <n v="0.8372222222222222" u="1"/>
        <n v="0.69636052631578949" u="1"/>
        <n v="0.82141464105263162" u="1"/>
        <n v="0.7946428571428571" u="1"/>
        <n v="0.59774399873684214" u="1"/>
        <n v="0.51923076923076927" u="1"/>
        <n v="0.84683333333333333" u="1"/>
        <n v="0.10797575399999984" u="1"/>
        <n v="0.62666666666666671" u="1"/>
        <n v="0.90474780377060504" u="1"/>
        <n v="0.36474811764706333" u="1"/>
        <n v="0.79329526315789478" u="1"/>
        <n v="0.50443297777777785" u="1"/>
        <n v="0.85923036895789495" u="1"/>
        <n v="0.99258232558139536" u="1"/>
        <n v="0.63090105263157903" u="1"/>
        <n v="0.99346133333333331" u="1"/>
        <n v="0.45467692307692309" u="1"/>
        <n v="0.95320584390243879" u="1"/>
        <n v="0.88527777777777783" u="1"/>
        <n v="0.84458113888888897" u="1"/>
        <n v="0.95706248149244888" u="1"/>
        <n v="0.56812937777777761" u="1"/>
        <n v="0.61932093023255808" u="1"/>
        <n v="0.81388888888888888" u="1"/>
        <n v="0.74891843902439026" u="1"/>
        <n v="0.92381581395348833" u="1"/>
        <n v="0.86399999999999999" u="1"/>
        <n v="0.80821736842105263" u="1"/>
        <n v="0.83377751455927351" u="1"/>
        <n v="0.8789012315789474" u="1"/>
        <n v="0.87361111111111112" u="1"/>
        <n v="0.82792531111111101" u="1"/>
        <n v="0.71464213658536591" u="1"/>
        <n v="0.79788345461052634" u="1"/>
        <n v="0.84077380952380953" u="1"/>
        <n v="0.64030146341463412" u="1"/>
        <n v="0.88609219228111735" u="1"/>
        <n v="0.90070081926759449" u="1"/>
        <n v="0.14430018399999939" u="1"/>
        <n v="0.9525555555555556" u="1"/>
        <n v="0.45600000000000002" u="1"/>
        <n v="0.87155555555555553" u="1"/>
        <n v="0.14430018399999953" u="1"/>
        <n v="0.86563091707317052" u="1"/>
        <n v="0.73238888888888887" u="1"/>
        <n v="0.91955384463527789" u="1"/>
        <n v="0.74148148148148152" u="1"/>
        <n v="0.8348214285714286" u="1"/>
        <n v="0.92334166666666673" u="1"/>
        <n v="0.78876111111111114" u="1"/>
        <n v="0.95515500000000009" u="1"/>
        <n v="0.66100000000000003" u="1"/>
        <n v="0.71111111111111114" u="1"/>
        <n v="0.87655930232558132" u="1"/>
        <n v="0.38098686399999976" u="1"/>
        <n v="0.92580479999999998" u="1"/>
        <n v="0.23159541176470588" u="1"/>
        <n v="0.91" u="1"/>
        <n v="0.68074074074074076" u="1"/>
        <n v="0.82973053005626296" u="1"/>
        <n v="0.94348833333333337" u="1"/>
        <n v="0.8443391570427401" u="1"/>
        <n v="0.86195165000000007" u="1"/>
        <n v="0.53821538461538465" u="1"/>
        <n v="0.105" u="1"/>
        <n v="0.62691418604651172" u="1"/>
        <n v="0.8820452077781068" u="1"/>
        <n v="0.22792493500000027" u="1"/>
        <n v="0.40510539233009724" u="1"/>
        <n v="0.89665383476458393" u="1"/>
        <n v="0.75451584246372516" u="1"/>
        <n v="0.79210789473684207" u="1"/>
        <n v="0.42559230769230766" u="1"/>
        <n v="0.11366666666666667" u="1"/>
        <n v="0.33732348699999876" u="1"/>
        <n v="0.27991023529411763" u="1"/>
        <n v="0.71291538461538462" u="1"/>
        <n v="0.90957348837209306" u="1"/>
        <n v="0.70699999999999996" u="1"/>
        <n v="0.40417792475728154" u="1"/>
        <n v="0.13312811764705881" u="1"/>
        <n v="0.1870673823529399" u="1"/>
        <n v="0.90188235294117647" u="1"/>
        <n v="0.65008390089823309" u="1"/>
        <n v="0.81961611898301678" u="1"/>
        <n v="0.86605961052631586" u="1"/>
        <n v="0.79463393023255813" u="1"/>
        <n v="0.64111270588239655" u="1"/>
        <n v="0.74378947368421056" u="1"/>
        <n v="0.64207790329473702" u="1"/>
        <n v="0.80714356978948421" u="1"/>
        <n v="0.74027322869473688" u="1"/>
        <n v="0.87375382489389009" u="1"/>
        <n v="0.71455555555555561" u="1"/>
        <n v="0.73161583259303131" u="1"/>
        <n v="0.26967367499999839" u="1"/>
        <n v="0.9013035381750466" u="1"/>
        <n v="0.68212594117652026" u="1"/>
        <n v="0.504" u="1"/>
        <n v="0.30154387000000005" u="1"/>
        <n v="0.8880982666666668" u="1"/>
        <n v="0.78388888888888886" u="1"/>
        <n v="0.81218432777777771" u="1"/>
        <n v="0.92606850261573392" u="1"/>
        <n v="0.38234664871844665" u="1"/>
        <n v="0.82351316097560967" u="1"/>
        <n v="0.18002588235293948" u="1"/>
        <n v="0.66577894736842103" u="1"/>
        <n v="0.90317769661052638" u="1"/>
        <n v="0.79680734736842096" u="1"/>
        <n v="0.92130173333333332" u="1"/>
        <n v="0.98773851578947358" u="1"/>
        <n v="0.74140222222222218" u="1"/>
        <n v="0.95422707692307684" u="1"/>
        <n v="0.30909813953488374" u="1"/>
        <n v="0.96022095555555564" u="1"/>
        <n v="0.96012599999999992" u="1"/>
        <n v="0.65152209302325581" u="1"/>
        <n v="0.48887909990769229" u="1"/>
        <n v="0.80105555555555552" u="1"/>
        <n v="0.63907631578947377" u="1"/>
        <n v="0.42555555555555558" u="1"/>
        <n v="0.30023529411764704" u="1"/>
        <n v="0.76221052631578945" u="1"/>
        <n v="0.84248000000000001" u="1"/>
        <n v="0.90316849274503996" u="1"/>
        <n v="0.6966947058823999" u="1"/>
        <n v="0.85376611111111111" u="1"/>
        <n v="0.90741289112624612" u="1"/>
        <n v="0.69431834883720933" u="1"/>
        <n v="0.89444125853658518" u="1"/>
        <n v="0.72373540856031127" u="1"/>
        <n v="0.99670588235294122" u="1"/>
        <n v="0.83576881395348834" u="1"/>
        <n v="0.61933333333333329" u="1"/>
        <n v="0.58743846153846158" u="1"/>
        <n v="0.76031746031746028" u="1"/>
        <n v="0.59884005882356228" u="1"/>
        <n v="0.88651256111111154" u="1"/>
        <n v="0.73037885639634204" u="1"/>
        <n v="0.2142013399999998" u="1"/>
        <n v="0.9629395902439023" u="1"/>
        <n v="0.50999811666666672" u="1"/>
        <n v="0.52397692307692312" u="1"/>
        <n v="0.29882061699999984" u="1"/>
        <n v="0.86299892682926826" u="1"/>
        <n v="0.23289613199999995" u="1"/>
        <n v="0.95921560000000006" u="1"/>
        <n v="0.94684119999999994" u="1"/>
        <n v="0.54133308634871791" u="1"/>
        <n v="0.22251199999999691" u="1"/>
        <n v="0.81383744186046514" u="1"/>
        <n v="0.88396790697674421" u="1"/>
        <n v="0.89912150824202941" u="1"/>
        <n v="0.83917388888888889" u="1"/>
        <n v="0.83538888888888885" u="1"/>
        <n v="0.98640799866315787" u="1"/>
        <n v="0.83518478888888892" u="1"/>
        <n v="0.88549999999999995" u="1"/>
        <n v="0.93258316059618995" u="1"/>
        <n v="0.46777777777777779" u="1"/>
        <n v="0.7915793674548538" u="1"/>
        <n v="0.87824671219512196" u="1"/>
        <n v="0.93682755897739611" u="1"/>
        <n v="0.94120474444444457" u="1"/>
        <n v="0.79044516829533118" u="1"/>
        <n v="0.49498461538461541" u="1"/>
        <n v="0.79468956667653734" u="1"/>
        <n v="0.81411111111111112" u="1"/>
        <n v="0.95143618596387325" u="1"/>
        <n v="0.80813492063492065" u="1"/>
        <n v="0.75305263157894742" u="1"/>
        <n v="0.86422222222222222" u="1"/>
        <n v="0.1459798469999993" u="1"/>
        <n v="0.916449511627907" u="1"/>
        <n v="0.86896077777777792" u="1"/>
        <n v="0.93362674418604652" u="1"/>
        <n v="0.88344444444444448" u="1"/>
        <n v="0.94670899512195128" u="1"/>
        <n v="0.71815800000007091" u="1"/>
        <n v="0.50443187222222197" u="1"/>
        <n v="0.83952860000000018" u="1"/>
        <n v="0.62830769230769234" u="1"/>
        <n v="0.94530346666666665" u="1"/>
        <n v="0.71312808780487791" u="1"/>
        <n v="0.11534554100000025" u="1"/>
        <n v="0.71338888888888885" u="1"/>
        <n v="0.69603631578947367" u="1"/>
        <n v="8.6211639999999451E-2" u="1"/>
        <n v="0.90266666666666662" u="1"/>
        <n v="0.84824421052631571" u="1"/>
        <n v="0.76934523809523814" u="1"/>
        <n v="0.38259625999999991" u="1"/>
        <n v="0.64200000000000002" u="1"/>
        <n v="0.83639810000000014" u="1"/>
        <n v="0.89507452373901886" u="1"/>
        <n v="0.71924023255813962" u="1"/>
        <n v="0.65171941463414629" u="1"/>
        <n v="0.61336546341463416" u="1"/>
        <n v="0.88138888888888889" u="1"/>
        <n v="0.61055508888888887" u="1"/>
        <n v="0.31730588235294116" u="1"/>
        <n v="0.9285361760931794" u="1"/>
        <n v="0.71904619375436496" u="1"/>
        <n v="0.78798999999999997" u="1"/>
        <n v="0.90640768780487802" u="1"/>
        <n v="0.53166666666666662" u="1"/>
        <n v="0.62734210526315792" u="1"/>
        <n v="0.96485160465116271" u="1"/>
        <n v="0.69005555555555553" u="1"/>
        <n v="0.98085085381502324" u="1"/>
        <n v="0.58654911764708595" u="1"/>
        <n v="0.68906672093023258" u="1"/>
        <n v="0.52" u="1"/>
        <n v="0.81923128888888908" u="1"/>
        <n v="0.86904674418604644" u="1"/>
        <n v="0.98299820000000004" u="1"/>
        <n v="0.74994600000008249" u="1"/>
        <n v="0.96398160465116278" u="1"/>
        <n v="0.50938775620512822" u="1"/>
        <n v="0.8214326315789473" u="1"/>
        <n v="0.11859935294117294" u="1"/>
        <n v="0.11859935294117301" u="1"/>
        <n v="0.17549185" u="1"/>
        <n v="0.89026670526315765" u="1"/>
        <n v="0.11859935294117314" u="1"/>
        <n v="0.73811111111111116" u="1"/>
        <n v="0.90563616622248544" u="1"/>
        <n v="0.18513091099999934" u="1"/>
        <n v="0.83020834883720929" u="1"/>
        <n v="0.84236111111111112" u="1"/>
        <n v="0.92448919159016874" u="1"/>
        <n v="0.85295221111111141" u="1"/>
        <n v="0.96347078333333291" u="1"/>
        <n v="0.74290023255813953" u="1"/>
        <n v="0.7456666666666667" u="1"/>
        <n v="0.83466587701115391" u="1"/>
        <n v="0.88744770000000017" u="1"/>
        <n v="0.154" u="1"/>
        <n v="0.29289476999999986" u="1"/>
        <n v="0.51556416694736851" u="1"/>
        <n v="0.93646978536585368" u="1"/>
        <n v="0.57837686787368403" u="1"/>
        <n v="0.94455555555555559" u="1"/>
        <n v="0.86812752936531434" u="1"/>
        <n v="0.63737184526315782" u="1"/>
        <n v="0.81499999999999995" u="1"/>
        <n v="0.729466023255814" u="1"/>
        <n v="0.51544615384615389" u="1"/>
        <n v="0.27528348699999888" u="1"/>
        <n v="0.73399999999999999" u="1"/>
        <n v="0.52039581111111122" u="1"/>
        <n v="0.79508702439024392" u="1"/>
        <n v="0.78411111111111109" u="1"/>
        <n v="0.90158918171947489" u="1"/>
        <n v="0.62192842105263157" u="1"/>
        <n v="0.84383333333333332" u="1"/>
        <n v="0.70642105263157895" u="1"/>
        <n v="0.93929523245484159" u="1"/>
        <n v="0.63616622248544075" u="1"/>
        <n v="0.33339584514563109" u="1"/>
        <n v="0.53120682352941173" u="1"/>
        <n v="0.13190929411764296" u="1"/>
        <n v="0.1974581764705883" u="1"/>
        <n v="0.97275688480900202" u="1"/>
        <n v="0.99538208333332678" u="1"/>
        <n v="0.80277695684210548" u="1"/>
        <n v="0.41086265126213589" u="1"/>
        <n v="0.44111111111111112" u="1"/>
        <n v="0.41267692307692311" u="1"/>
        <n v="0.8657198581052632" u="1"/>
        <n v="0.94785133333333338" u="1"/>
        <n v="0.14849410000000002" u="1"/>
        <n v="0.10033333333333333" u="1"/>
        <n v="0.60355999999999999" u="1"/>
        <n v="0.86515111111111109" u="1"/>
        <n v="0.87061111111111111" u="1"/>
        <n v="0.22013024999999828" u="1"/>
        <n v="0.74079557792912842" u="1"/>
        <n v="0.84430870000000025" u="1"/>
        <n v="0.89754219721646433" u="1"/>
        <n v="0.22013024999999836" u="1"/>
        <n v="0.60686923076923083" u="1"/>
        <n v="0.89975611111111109" u="1"/>
        <n v="0.94875055555555543" u="1"/>
        <n v="0.48928571428571427" u="1"/>
        <n v="0.99202117894736841" u="1"/>
        <n v="0.66966666666666663" u="1"/>
        <n v="0.76038955121951235" u="1"/>
        <n v="0.80902953488372098" u="1"/>
        <n v="0.94985687493830817" u="1"/>
        <n v="0.86070730731707301" u="1"/>
        <n v="0.55478432222222218" u="1"/>
        <n v="0.62548461538461542" u="1"/>
        <n v="0.98719499999999993" u="1"/>
        <n v="8.5975588235292083E-2" u="1"/>
        <n v="0.42260621321025627" u="1"/>
        <n v="0.73255473684210526" u="1"/>
        <n v="0.55363339444444459" u="1"/>
        <n v="0.6960231578947369" u="1"/>
        <n v="0.99486910243902427" u="1"/>
        <n v="0.65800000000000003" u="1"/>
        <n v="0.63854462790697675" u="1"/>
        <n v="0.92036773333333333" u="1"/>
        <n v="0.62711111111111106" u="1"/>
        <n v="0.40736817310679613" u="1"/>
        <n v="0.92472378536585376" u="1"/>
        <n v="0.96813052631578944" u="1"/>
        <n v="0.96147893333333334" u="1"/>
        <n v="0.86093795000000006" u="1"/>
        <n v="0.16375382352940773" u="1"/>
        <n v="0.85180487804878047" u="1"/>
        <n v="0.87888658572697664" u="1"/>
        <n v="0.69855444444444437" u="1"/>
        <n v="0.57232529444444435" u="1"/>
        <n v="0.78020174634146333" u="1"/>
        <n v="0.42063492063492064" u="1"/>
        <n v="0.52244666111111104" u="1"/>
        <n v="0.91234823808113708" u="1"/>
        <n v="0.99602959999999996" u="1"/>
        <n v="0.91615372777777782" u="1"/>
        <n v="0.96233679999999999" u="1"/>
        <n v="0.72158307692307688" u="1"/>
        <n v="0.95182720930232556" u="1"/>
        <n v="9.6695719999999999E-2" u="1"/>
        <n v="0.90013513684210522" u="1"/>
        <n v="0.98242002666666672" u="1"/>
        <n v="9.1812979999999836E-2" u="1"/>
        <n v="0.82252492350212225" u="1"/>
        <n v="0.97927154278945805" u="1"/>
        <n v="0.70399999999999996" u="1"/>
        <n v="0.68038693120126348" u="1"/>
        <n v="0.59789473684210526" u="1"/>
        <n v="0.85277777777777775" u="1"/>
        <n v="0.55092660555555539" u="1"/>
        <n v="0.8884994444444444" u="1"/>
        <n v="0.68272222222222223" u="1"/>
        <n v="0.59243789473684205" u="1"/>
        <n v="0.99543159999999997" u="1"/>
        <n v="0.61185185185185187" u="1"/>
        <n v="0.56446153846153846" u="1"/>
        <n v="0.54217299444444433" u="1"/>
        <n v="0.55405105263157894" u="1"/>
        <n v="0.64567765116279074" u="1"/>
        <n v="0.97402537634736863" u="1"/>
        <n v="0.89297919999999997" u="1"/>
        <n v="0.85050697674418596" u="1"/>
        <n v="0.50684523809523807" u="1"/>
        <n v="0.89924141463414653" u="1"/>
        <n v="0.81423354061790543" u="1"/>
        <n v="0.78406906976744184" u="1"/>
        <n v="0.75" u="1"/>
        <n v="0.94356519999999999" u="1"/>
        <n v="0.58574736842105268" u="1"/>
        <n v="0.67861111111111116" u="1"/>
        <n v="0.79937511111111093" u="1"/>
        <n v="0.20343414800000079" u="1"/>
        <n v="0.96060999999999996" u="1"/>
        <n v="8.3596890999999257E-2" u="1"/>
        <n v="0.93718160000000006" u="1"/>
        <n v="0.524095561111111" u="1"/>
        <n v="0.73833333333333329" u="1"/>
        <n v="0.9168594105263157" u="1"/>
        <n v="0.41444444444444445" u="1"/>
        <n v="0.95592976744186042" u="1"/>
        <n v="0.97211764705882353" u="1"/>
        <n v="0.90591790697674424" u="1"/>
        <n v="0.93722222222222218" u="1"/>
        <n v="0.74505263157894741" u="1"/>
        <n v="0.94116959999999983" u="1"/>
        <n v="0.9188628960615931" u="1"/>
        <n v="0.95628154146341504" u="1"/>
        <n v="0.91212040000000005" u="1"/>
        <n v="0.95878666666666124" u="1"/>
        <n v="0.81018655611489487" u="1"/>
        <n v="0.79083390555555533" u="1"/>
        <n v="0.97566666666666668" u="1"/>
        <n v="0.84096806210526309" u="1"/>
        <n v="0.62244263999999982" u="1"/>
        <n v="0.92289393023255817" u="1"/>
        <n v="0.66592592592592592" u="1"/>
        <n v="0.88120434444444429" u="1"/>
        <n v="0.81167721837001305" u="1"/>
        <n v="0.94720260000000001" u="1"/>
        <n v="0.73422222222222222" u="1"/>
        <n v="0.77551108888888887" u="1"/>
        <n v="0.88486750526315783" u="1"/>
        <n v="0.87710986082321585" u="1"/>
        <n v="0.83444444444444443" u="1"/>
        <n v="0.87314537777777779" u="1"/>
        <n v="0.60293157894736849" u="1"/>
        <n v="0.75772708333333338" u="1"/>
        <n v="0.79105263157894734" u="1"/>
        <n v="0.22816186599999824" u="1"/>
        <n v="0.28957855699999863" u="1"/>
        <n v="0.96689219512195113" u="1"/>
        <n v="0.99919977894736856" u="1"/>
        <n v="0.74969764705890707" u="1"/>
        <n v="0.81418952869058381" u="1"/>
        <n v="0.77266666666666661" u="1"/>
        <n v="0.76903023255813951" u="1"/>
        <n v="0.84199999999999997" u="1"/>
        <n v="0.53122222222222226" u="1"/>
        <n v="0.53573539444444451" u="1"/>
        <n v="0.82860106473684214" u="1"/>
        <n v="0.67742893333333332" u="1"/>
        <n v="0.59139862439024382" u="1"/>
        <n v="0.95588235294117652" u="1"/>
        <n v="0.22736921200000026" u="1"/>
        <n v="0.99815786666666673" u="1"/>
        <n v="0.33234509456310685" u="1"/>
        <n v="0.85845424933372816" u="1"/>
        <n v="0.56722620652631572" u="1"/>
        <n v="0.65066666666666662" u="1"/>
        <n v="0.97284999999999999" u="1"/>
        <n v="0.29877886999999986" u="1"/>
        <n v="0.93084678333333348" u="1"/>
        <n v="0.72354111764712814" u="1"/>
        <n v="0.78225526315789473" u="1"/>
        <n v="0.99833333333333329" u="1"/>
        <n v="0.57463157894736838" u="1"/>
        <n v="0.93625760000000002" u="1"/>
        <n v="0.38691435294117649" u="1"/>
        <n v="0.5972982352941284" u="1"/>
        <n v="0.61133777777777776" u="1"/>
        <n v="0.70336842105263153" u="1"/>
        <n v="0.34933333333333333" u="1"/>
        <n v="0.71206631578947366" u="1"/>
        <n v="0.65876052631578952" u="1"/>
        <n v="0.88887315789473687" u="1"/>
        <n v="0.78189473684210531" u="1"/>
        <n v="0.77878035294126724" u="1"/>
        <n v="0.76761892682926824" u="1"/>
        <n v="0.13171582352941216" u="1"/>
        <n v="0.85440726483071761" u="1"/>
        <n v="0.82622222222222219" u="1"/>
        <n v="0.20054017999999962" u="1"/>
        <n v="0.86901589181719474" u="1"/>
        <n v="0.98160346666666665" u="1"/>
        <n v="0.20054017999999968" u="1"/>
        <n v="0.28070486000000011" u="1"/>
        <n v="0.68368548333333334" u="1"/>
        <n v="0.97720653333333329" u="1"/>
        <n v="0.87876330555555571" u="1"/>
        <n v="0.46800000000000003" u="1"/>
        <n v="0.89355506666666651" u="1"/>
        <n v="0.90247754417135528" u="1"/>
        <n v="0.95803360555555461" u="1"/>
        <n v="0.86688617777777788" u="1"/>
        <n v="0.76033955187049651" u="1"/>
        <n v="0.72757936507936505" u="1"/>
        <n v="0.90669079999999991" u="1"/>
        <n v="0.45992942547368426" u="1"/>
        <n v="0.75376175609756102" u="1"/>
        <n v="0.57428973010526319" u="1"/>
        <n v="0.50343024325263164" u="1"/>
        <n v="0.90947597894736842" u="1"/>
        <n v="0.84338888888888885" u="1"/>
        <n v="0.58729167222222234" u="1"/>
        <n v="0.81265422959234035" u="1"/>
        <n v="0.93400000000000005" u="1"/>
        <n v="0.79198157894736843" u="1"/>
        <n v="0.89876777777777772" u="1"/>
        <n v="0.84611588194650089" u="1"/>
        <n v="0.99847469333333327" u="1"/>
        <n v="0.67635088235299301" u="1"/>
        <n v="0.82752557894736822" u="1"/>
        <n v="0.88619906976744189" u="1"/>
        <n v="0.44008647058823686" u="1"/>
        <n v="0.64296296296296296" u="1"/>
        <n v="0.42022906912621355" u="1"/>
        <n v="0.78528789473684202" u="1"/>
        <n v="0.9918950439024391" u="1"/>
        <n v="0.70866788235300848" u="1"/>
        <n v="0.71355369767441867" u="1"/>
        <n v="0.89843055966834473" u="1"/>
        <n v="0.11666666666666667" u="1"/>
        <n v="0.97295744186046507" u="1"/>
        <n v="0.58625000000000005" u="1"/>
        <n v="0.83710526315789469" u="1"/>
        <n v="0.48846523251282037" u="1"/>
        <n v="0.91066666666666662" u="1"/>
        <n v="0.98694842105263159" u="1"/>
        <n v="0.75610526315789472" u="1"/>
        <n v="0.40834660692232999" u="1"/>
        <n v="0.96043773333333338" u="1"/>
        <n v="0.74061111111111111" u="1"/>
        <n v="0.92988888888888888" u="1"/>
        <n v="0.88357108333333223" u="1"/>
        <n v="0.82124526829268307" u="1"/>
        <n v="0.93402702222222167" u="1"/>
        <n v="0.76944444444444449" u="1"/>
        <n v="0.83885144999999972" u="1"/>
        <n v="0.38597800728155335" u="1"/>
        <n v="0.6016815789473684" u="1"/>
        <n v="0.52800000000000002" u="1"/>
        <n v="0.75777777777777777" u="1"/>
        <n v="0.7737664827368419" u="1"/>
        <n v="0.7522455828644754" u="1"/>
        <n v="0.96095235915789434" u="1"/>
        <n v="0.91323660053301747" u="1"/>
        <n v="0.84734906976744184" u="1"/>
        <n v="0.89263579512195124" u="1"/>
        <n v="0.74611111111111106" u="1"/>
        <n v="0.94669825288717802" u="1"/>
        <n v="0.42279603747572825" u="1"/>
        <n v="0.51987997222222215" u="1"/>
        <n v="0.96130687987365515" u="1"/>
        <n v="0.97501720930232549" u="1"/>
        <n v="0.98550000000000004" u="1"/>
        <n v="0.94499999999999995" u="1"/>
        <n v="0.64331578947368417" u="1"/>
        <n v="0.82283262500000021" u="1"/>
        <n v="0.72656842105263153" u="1"/>
        <n v="0.76533333333333331" u="1"/>
        <n v="0.96631130731707315" u="1"/>
        <n v="0.99398861538461547" u="1"/>
        <n v="0.65394991111111123" u="1"/>
        <n v="0.73444444444444446" u="1"/>
        <n v="0.85701229444444438" u="1"/>
        <n v="0.82860818536585357" u="1"/>
        <n v="0.67377210526315789" u="1"/>
        <n v="0.94882719999999998" u="1"/>
        <n v="0.97409224444444431" u="1"/>
        <n v="0.98840296000000005" u="1"/>
        <n v="0.90494521764880076" u="1"/>
        <n v="0.40451538461538461" u="1"/>
        <n v="0.51467692307692314" u="1"/>
        <n v="0.57892307692307687" u="1"/>
        <n v="0.29275401399999984" u="1"/>
        <n v="0.99344627906976757" u="1"/>
        <n v="0.68560807222222231" u="1"/>
        <n v="0.97177777777777774" u="1"/>
        <n v="0.91870311219512191" u="1"/>
        <n v="0.94877213333333321" u="1"/>
        <n v="0.95280222222222211" u="1"/>
        <n v="0.61567111111111106" u="1"/>
        <n v="0.7921111111111111" u="1"/>
        <n v="0.93374562666666672" u="1"/>
        <n v="0.80051327608330869" u="1"/>
        <n v="0.85183333333333333" u="1"/>
        <n v="0.68494164878048791" u="1"/>
        <n v="7.166666666666667E-2" u="1"/>
        <n v="0.55776751273684211" u="1"/>
        <n v="0.63166666666666671" u="1"/>
        <n v="0.88156911442105257" u="1"/>
        <n v="0.67095325853658527" u="1"/>
        <n v="0.84458823529411764" u="1"/>
        <n v="0.8305555555555556" u="1"/>
        <n v="0.86596434444444437" u="1"/>
        <n v="0.6035722829268293" u="1"/>
        <n v="0.65062887777777789" u="1"/>
        <n v="0.16406185294117212" u="1"/>
        <n v="0.90089823314579009" u="1"/>
        <n v="0.83182811627906983" u="1"/>
        <n v="0.10133333333333333" u="1"/>
        <n v="0.40623076923076923" u="1"/>
        <n v="0.74588847804878033" u="1"/>
        <n v="0.7690454634146342" u="1"/>
        <n v="0.68103411764711785" u="1"/>
        <n v="0.93435988549995064" u="1"/>
        <n v="0.7008928571428571" u="1"/>
        <n v="0.57704463629473679" u="1"/>
        <n v="0.79646629158029814" u="1"/>
        <n v="0.88822222222222225" u="1"/>
        <n v="0.84343480000000026" u="1"/>
        <n v="0.38437561601941744" u="1"/>
        <n v="0.44888888888888889" u="1"/>
        <n v="0.88569881951219509" u="1"/>
        <n v="0.89870454444444448" u="1"/>
        <n v="0.82992794393445857" u="1"/>
        <n v="0.61399582352944004" u="1"/>
        <n v="0.99537266666666668" u="1"/>
        <n v="0.86106399999999994" u="1"/>
        <n v="0.725725951219512" u="1"/>
        <n v="0.8206053555555558" u="1"/>
        <n v="0.63070526315789477" u="1"/>
        <n v="0.90368635555555232" u="1"/>
        <n v="0.9427558139534884" u="1"/>
        <n v="0.87799822327509625" u="1"/>
        <n v="0.93072671578947364" u="1"/>
        <n v="0.52753239444444444" u="1"/>
        <n v="0.81889767222222243" u="1"/>
        <n v="0.89685124864277954" u="1"/>
        <n v="0.45266666666666666" u="1"/>
        <n v="0.65349695699890253" u="1"/>
        <n v="0.91570427401046295" u="1"/>
        <n v="0.79179882926829293" u="1"/>
        <n v="0.73533333333333328" u="1"/>
        <n v="0.77356628170960418" u="1"/>
        <n v="0.99469279069767447" u="1"/>
        <n v="0.90462714146341461" u="1"/>
        <n v="0.90549693333333336" u="1"/>
        <n v="0.94916592636462338" u="1"/>
        <n v="0.71133790697674426" u="1"/>
        <n v="0.6528846153846154" u="1"/>
        <n v="0.67407407407407405" u="1"/>
        <n v="0.95344444444444443" u="1"/>
        <n v="0.82588095943144801" u="1"/>
        <n v="0.97488386666666649" u="1"/>
        <n v="0.39703522843689315" u="1"/>
        <n v="0.56892312846315785" u="1"/>
        <n v="0.78489741860465112" u="1"/>
        <n v="0.6557078947368421" u="1"/>
        <n v="0.70330770731707326" u="1"/>
        <n v="9.246183899999999E-2" u="1"/>
        <n v="0.50288600851282039" u="1"/>
        <n v="0.56002272222222205" u="1"/>
        <n v="0.75898253488372092" u="1"/>
        <n v="0.80828697674418604" u="1"/>
        <n v="8.844241500000001E-2" u="1"/>
        <n v="0.8769904947368421" u="1"/>
        <n v="0.89166666666666672" u="1"/>
        <n v="0.9023218315789473" u="1"/>
        <n v="0.71199999999999997" u="1"/>
        <n v="0.73181324647122692" u="1"/>
        <n v="0.79545255813953486" u="1"/>
        <n v="0.66317767441860465" u="1"/>
        <n v="0.93451587222222221" u="1"/>
        <n v="0.67417116279069766" u="1"/>
        <n v="0.69945767441860462" u="1"/>
        <n v="0.9116572895074524" u="1"/>
        <n v="0.64424603174603179" u="1"/>
        <n v="0.70144999999999991" u="1"/>
        <n v="0.76733512920283353" u="1"/>
        <n v="0.86925414093893949" u="1"/>
        <n v="0.39553695624271845" u="1"/>
        <n v="0.14266666666666666" u="1"/>
        <n v="0.29866250699999874" u="1"/>
        <n v="0.38" u="1"/>
        <n v="0.86059228292682932" u="1"/>
        <n v="0.88594944444444446" u="1"/>
        <n v="0.54367480392820522" u="1"/>
        <n v="0.76211906976744193" u="1"/>
        <n v="0.68766210526315785" u="1"/>
        <n v="0.41756823339805832" u="1"/>
        <n v="0.81925925925925924" u="1"/>
        <n v="0.68866666666666665" u="1"/>
        <n v="0.64952684210526312" u="1"/>
        <n v="0.73877777777777776" u="1"/>
        <n v="0.86273673684210528" u="1"/>
        <n v="0.71873684210526312" u="1"/>
        <n v="0.855295627282598" u="1"/>
        <n v="0.71315763498173923" u="1"/>
        <n v="0.8000598623166717" u="1"/>
        <n v="0.99515555555555546" u="1"/>
        <n v="0.49866666666666665" u="1"/>
        <n v="0.88875727963675843" u="1"/>
        <n v="0.90761030500444184" u="1"/>
        <n v="0.68893756097560976" u="1"/>
        <n v="0.9939595414634147" u="1"/>
        <n v="8.5999999999999993E-2" u="1"/>
        <n v="0.70756842105263151" u="1"/>
        <n v="0.53459860877894738" u="1"/>
        <n v="0.76555555555555554" u="1"/>
        <n v="0.95723135789473657" u="1"/>
        <n v="0.89164130000000008" u="1"/>
        <n v="0.81566666666666665" u="1"/>
        <n v="0.94103421052631564" u="1"/>
        <n v="0.53942610000000013" u="1"/>
        <n v="0.83239561741190404" u="1"/>
        <n v="0.7847777777777778" u="1"/>
        <n v="0.85050929444444456" u="1"/>
        <n v="0.56071428571428572" u="1"/>
        <n v="0.77591539459243741" u="1"/>
        <n v="0.80400000000000005" u="1"/>
        <n v="0.97091086666666671" u="1"/>
        <n v="0.68859463414634137" u="1"/>
        <n v="0.82644720930232562" u="1"/>
        <n v="0.55276041666666664" u="1"/>
        <n v="0.91300080000000006" u="1"/>
        <n v="0.34200000000000003" u="1"/>
        <n v="0.91817194748790842" u="1"/>
        <n v="0.82122647368421042" u="1"/>
        <n v="0.91362714966315783" u="1"/>
        <n v="0.4903764614736843" u="1"/>
        <n v="0.80662263157894731" u="1"/>
        <n v="0.42292238756923073" u="1"/>
        <n v="0.95421502105263201" u="1"/>
        <n v="0.56396502777777757" u="1"/>
        <n v="0.83689366315789471" u="1"/>
        <n v="0.88517574736842097" u="1"/>
        <n v="0.53991050555555564" u="1"/>
        <n v="0.57725384615384612" u="1"/>
        <n v="0.96265647222222273" u="1"/>
        <n v="0.70201210526315783" u="1"/>
        <n v="0.25881223529412645" u="1"/>
        <n v="0.65111111111111108" u="1"/>
        <n v="0.97958466666666666" u="1"/>
        <n v="0.85202497560975621" u="1"/>
        <n v="0.89049999999999996" u="1"/>
        <n v="0.86181028526305403" u="1"/>
        <n v="0.84614611596824441" u="1"/>
        <n v="0.85" u="1"/>
        <n v="0.71967229296219526" u="1"/>
        <n v="0.87641891224953117" u="1"/>
        <n v="0.89719936" u="1"/>
        <n v="0.60336789473684205" u="1"/>
        <n v="0.64267111111111108" u="1"/>
        <n v="0.95651013333333335" u="1"/>
        <n v="0.90972222222222221" u="1"/>
        <n v="0.93064466666666668" u="1"/>
        <n v="0.94722960975609749" u="1"/>
        <n v="0.86922222222222223" u="1"/>
        <n v="0.71576916097560972" u="1"/>
        <n v="0.45489499999999999" u="1"/>
        <n v="0.8477068166666667" u="1"/>
        <n v="0.41335861281553399" u="1"/>
        <n v="0.89747648837209304" u="1"/>
        <n v="0.67788888888888887" u="1"/>
        <n v="0.92443465116279067" u="1"/>
        <n v="0.89635930232558136" u="1"/>
        <n v="0.82666666666666666" u="1"/>
        <n v="0.67520052631578942" u="1"/>
        <n v="0.83891027539236007" u="1"/>
        <n v="0.62033279069767444" u="1"/>
        <n v="0.17286476470588233" u="1"/>
        <n v="0.85776330076004348" u="1"/>
        <n v="0.89600000000000002" u="1"/>
        <n v="0.63533333333333331" u="1"/>
        <n v="0.78283589588986036" u="1"/>
        <n v="0.73023393544566184" u="1"/>
        <n v="0.86511111111111116" u="1"/>
        <n v="0.54835688235296698" u="1"/>
        <n v="0.87483148970526314" u="1"/>
        <n v="0.97173242666666682" u="1"/>
        <n v="0.89122495311420391" u="1"/>
        <n v="0.50577777777777777" u="1"/>
        <n v="0.32955243799999884" u="1"/>
        <n v="0.42143532155339813" u="1"/>
        <n v="0.72429199024390234" u="1"/>
        <n v="0.76231578947368417" u="1"/>
        <n v="0.91007797848188732" u="1"/>
        <n v="0.70466666666666666" u="1"/>
        <n v="0.92468660546836445" u="1"/>
        <n v="0.25421173529412544" u="1"/>
        <n v="0.94405555555555554" u="1"/>
        <n v="0.90355555555555556" u="1"/>
        <n v="0.73473684210526313" u="1"/>
        <n v="0.80140163853518898" u="1"/>
        <n v="0.89733979512195128" u="1"/>
        <n v="0.44267657142857136" u="1"/>
        <n v="0.87462642926829259" u="1"/>
        <n v="0.15524494899999999" u="1"/>
        <n v="0.40722222222222221" u="1"/>
        <n v="0.79309888888888891" u="1"/>
        <n v="0.85337771705263166" u="1"/>
        <n v="0.78169443902439006" u="1"/>
        <n v="0.19919664999999981" u="1"/>
        <n v="0.37755577587378647" u="1"/>
        <n v="0.51854141176470592" u="1"/>
        <n v="0.91855777777777781" u="1"/>
        <n v="0.87054044186046509" u="1"/>
        <n v="0.19896067000000067" u="1"/>
        <n v="0.71157832395617415" u="1"/>
        <n v="0.93917647058823528" u="1"/>
        <n v="0.66173160465116287" u="1"/>
        <n v="0.87827380952380951" u="1"/>
        <n v="0.78155555555555556" u="1"/>
        <n v="0.9646013961368417" u="1"/>
        <n v="0.109" u="1"/>
        <n v="0.88829622222222182" u="1"/>
        <n v="0.71016666666666661" u="1"/>
        <n v="0.57099999999999995" u="1"/>
        <n v="0.66480866666666683" u="1"/>
        <n v="0.72300444444444445" u="1"/>
        <n v="0.79233441860465115" u="1"/>
        <n v="0.90483797073170713" u="1"/>
        <n v="0.99212819512195127" u="1"/>
        <n v="0.11766666666666667" u="1"/>
        <n v="0.68888888888888888" u="1"/>
        <n v="0.2628503099999982" u="1"/>
        <n v="0.30591117000000007" u="1"/>
        <n v="0.76246860465116273" u="1"/>
        <n v="0.77851789473684208" u="1"/>
        <n v="0.5785555555555556" u="1"/>
        <n v="0.7075313394531636" u="1"/>
        <n v="0.80833333333333335" u="1"/>
        <n v="0.62814814814814812" u="1"/>
        <n v="0.84240858139534891" u="1"/>
        <n v="0.23048235294117647" u="1"/>
        <n v="0.8071213953488372" u="1"/>
        <n v="0.82730994146341452" u="1"/>
        <n v="0.63377105263157896" u="1"/>
        <n v="0.34031864705882353" u="1"/>
        <n v="0.98507359999999999" u="1"/>
        <n v="0.8327" u="1"/>
        <n v="9.9362640000000071E-2" u="1"/>
        <n v="0.60047736842105259" u="1"/>
        <n v="0.7252777777777778" u="1"/>
        <n v="0.9280828277777774" u="1"/>
        <n v="0.53846919073684218" u="1"/>
        <n v="0.79565093023255817" u="1"/>
        <n v="0.1924274100000001" u="1"/>
        <n v="0.68193953488372094" u="1"/>
        <n v="0.1302127058823534" u="1"/>
        <n v="0.7508729921181283" u="1"/>
        <n v="0.86675232558139537" u="1"/>
        <n v="0.7194649939894735" u="1"/>
        <n v="0.94137186046511623" u="1"/>
        <n v="0.96235293333333349" u="1"/>
        <n v="0.73670634920634925" u="1"/>
        <n v="0.79926169809438297" u="1"/>
        <n v="0.76510799024390252" u="1"/>
        <n v="0.79642857142857137" u="1"/>
        <n v="0.84137794886980555" u="1"/>
        <n v="0.92436050061052621" u="1"/>
        <n v="0.84472222222222226" u="1"/>
        <n v="0.89150267222222213" u="1"/>
        <n v="0.29726628999999866" u="1"/>
        <n v="0.86023097423748884" u="1"/>
        <n v="0.17804678200000001" u="1"/>
        <n v="0.77333333333333332" u="1"/>
        <n v="0.83560055555555557" u="1"/>
        <n v="0.17888428200000001" u="1"/>
        <n v="0.89369262659164939" u="1"/>
        <n v="0.73519000000000001" u="1"/>
        <n v="0.5287302792820513" u="1"/>
        <n v="0.51631729999999998" u="1"/>
        <n v="0.84266666666666667" u="1"/>
        <n v="0.91254565195933279" u="1"/>
        <n v="0.64839692307692309" u="1"/>
        <n v="0.92715427894580993" u="1"/>
        <n v="0.97892185555555566" u="1"/>
        <n v="0.84932300000000005" u="1"/>
        <n v="0.13333333333333333" u="1"/>
        <n v="0.32989070588235297" u="1"/>
        <n v="0.48113846153846157" u="1"/>
        <n v="0.58150954421052625" u="1"/>
        <n v="0.94600730431349322" u="1"/>
        <n v="0.91130251707317056" u="1"/>
        <n v="0.72672852439389402" u="1"/>
        <n v="0.80386931201263445" u="1"/>
        <n v="0.87307773333333327" u="1"/>
        <n v="0.88111111111111107" u="1"/>
        <n v="0.52074074074074073" u="1"/>
        <n v="0.58380514652631577" u="1"/>
        <n v="0.93977026666666663" u="1"/>
        <n v="8.6040941176468599E-2" u="1"/>
        <n v="0.62628968253968254" u="1"/>
        <n v="8.5687999999997932E-2" u="1"/>
        <n v="0.37359154999999972" u="1"/>
        <n v="8.5687999999997946E-2" u="1"/>
        <n v="0.37359154999999977" u="1"/>
        <n v="0.58563846153846155" u="1"/>
        <n v="0.67055555555555557" u="1"/>
        <n v="0.37359154999999988" u="1"/>
        <n v="0.80899627906976745" u="1"/>
        <n v="0.48" u="1"/>
        <n v="0.85346234444444447" u="1"/>
        <n v="0.37900907592233007" u="1"/>
        <n v="0.45908214126315788" u="1"/>
        <n v="0.92919346666666669" u="1"/>
        <n v="0.53099220000000014" u="1"/>
        <n v="0.69484210526315793" u="1"/>
        <n v="0.99602000000000002" u="1"/>
        <n v="0.41155105902912625" u="1"/>
        <n v="0.90849866745632213" u="1"/>
        <n v="0.8037698412698413" u="1"/>
        <n v="0.91358883720930228" u="1"/>
        <n v="0.628" u="1"/>
        <n v="0.96364705882352941" u="1"/>
        <n v="0.77336842105263159" u="1"/>
        <n v="0.90788888888888886" u="1"/>
        <n v="0.85729687346858763" u="1"/>
        <n v="0.49922222222222223" u="1"/>
        <n v="0.99075306666666674" u="1"/>
        <n v="0.877" u="1"/>
        <n v="0.81443095449610103" u="1"/>
        <n v="0.68862459512195118" u="1"/>
        <n v="0.83563657747721254" u="1"/>
        <n v="0.79781746031746037" u="1"/>
        <n v="0.83328397986378444" u="1"/>
        <n v="2.376E-2" u="1"/>
        <n v="0.93672222222222223" u="1"/>
        <n v="0.92372369756097561" u="1"/>
        <n v="0.54447886268717938" u="1"/>
        <n v="0.84159631578947369" u="1"/>
        <n v="0.4798026141052632" u="1"/>
        <n v="0.76807219512195124" u="1"/>
        <n v="0.84641258536585362" u="1"/>
        <n v="0.85213700523146774" u="1"/>
        <n v="0.42709296543689323" u="1"/>
        <n v="0.91376944444444441" u="1"/>
        <n v="0.68566666666666665" u="1"/>
        <n v="0.90800844210526321" u="1"/>
        <n v="0.15746932352940698" u="1"/>
        <n v="0.74346066528476951" u="1"/>
        <n v="0.48755555555555558" u="1"/>
        <n v="0.7048888888888889" u="1"/>
        <n v="0.57481481481481478" u="1"/>
        <n v="0.87797873170731722" u="1"/>
        <n v="0.67400000000000004" u="1"/>
        <n v="0.95856990243902429" u="1"/>
        <n v="0.9538888888888889" u="1"/>
        <n v="0.6964488888888889" u="1"/>
        <n v="0.155670215" u="1"/>
        <n v="0.8584082328421051" u="1"/>
        <n v="0.51511431666666674" u="1"/>
        <n v="0.97674408780487798" u="1"/>
        <n v="0.75539091707317063" u="1"/>
        <n v="0.66220238095238093" u="1"/>
        <n v="0.47647046511627905" u="1"/>
        <n v="0.79351037737894725" u="1"/>
        <n v="0.92213000000000001" u="1"/>
        <n v="0.91133333333333333" u="1"/>
        <n v="0.66520069767441858" u="1"/>
        <n v="0.93737573333333335" u="1"/>
        <n v="0.89879971578947382" u="1"/>
        <n v="0.9087188139534883" u="1"/>
        <n v="0.96144444444444443" u="1"/>
        <n v="0.38267692307692308" u="1"/>
        <n v="0.84544580000000014" u="1"/>
        <n v="0.5667969111111113" u="1"/>
        <n v="0.51788741263157878" u="1"/>
        <n v="0.65625" u="1"/>
        <n v="0.67311555555555558" u="1"/>
        <n v="0.38283552941176469" u="1"/>
        <n v="0.63458246631578952" u="1"/>
        <n v="0.80476330491032044" u="1"/>
        <n v="0.96741647174736867" u="1"/>
        <n v="0.77174838048780492" u="1"/>
        <n v="0.72" u="1"/>
        <n v="0.96043813333333339" u="1"/>
        <n v="0.91104773333333333" u="1"/>
        <n v="0.94392413333333325" u="1"/>
        <n v="0.66483894736842108" u="1"/>
        <n v="0.25849852941177337" u="1"/>
        <n v="0.967328003158622" u="1"/>
        <n v="0.9895288000000001" u="1"/>
        <n v="0.65925925925925921" u="1"/>
        <n v="0.74149456250623569" u="1"/>
        <n v="0.77058052631578955" u="1"/>
        <n v="0.87169950555555553" u="1"/>
        <n v="0.96628479444444448" u="1"/>
        <n v="0.79901932777777795" u="1"/>
        <n v="0.45877315178947364" u="1"/>
        <n v="0.92365923902439007" u="1"/>
        <n v="0.69169486046511619" u="1"/>
        <n v="0.72755555555555551" u="1"/>
        <n v="0.54788888888888887" u="1"/>
        <n v="0.8707580390243902" u="1"/>
        <n v="0.62109413658536583" u="1"/>
        <n v="0.95191626666666673" u="1"/>
        <n v="0.61055421052631575" u="1"/>
        <n v="0.80295092307692306" u="1"/>
        <n v="0.40907026415533976" u="1"/>
        <n v="0.90672194255256144" u="1"/>
        <n v="0.79812720930232561" u="1"/>
        <n v="0.91429116279069778" u="1"/>
        <n v="0.81611111111111112" u="1"/>
        <n v="0.29758306999999962" u="1"/>
        <n v="0.14085247058823558" u="1"/>
        <n v="0.69915789473684209" u="1"/>
        <n v="0.93473600000000001" u="1"/>
        <n v="0.15797069999999991" u="1"/>
        <n v="0.6964285714285714" u="1"/>
        <n v="0.30810069767441861" u="1"/>
        <n v="0.73354882352941175" u="1"/>
        <n v="0.21808278500000008" u="1"/>
        <n v="0.35768869900970884" u="1"/>
        <n v="0.67157894736842105" u="1"/>
        <n v="0.9284879777777777" u="1"/>
        <n v="0.48648648648648651" u="1"/>
        <n v="0.9521611000000002" u="1"/>
        <n v="0.85460467870891321" u="1"/>
        <n v="0.55054362222222208" u="1"/>
        <n v="0.9824705882352941" u="1"/>
        <n v="0.86921330569539035" u="1"/>
        <n v="0.8133292709473684" u="1"/>
        <n v="0.97964705882352943" u="1"/>
        <n v="0.88338888888888889" u="1"/>
        <n v="0.9526409268292686" u="1"/>
        <n v="0.78859913333333331" u="1"/>
        <n v="0.90267495804955089" u="1"/>
        <n v="0.5822222222222222" u="1"/>
        <n v="0.85250000000000004" u="1"/>
        <n v="0.16180891000000083" u="1"/>
        <n v="0.76478136412989828" u="1"/>
        <n v="0.90412142222222258" u="1"/>
        <n v="0.92152798341723419" u="1"/>
        <n v="0.52896163888888903" u="1"/>
        <n v="0.87545790697674419" u="1"/>
        <n v="0.91742026666666665" u="1"/>
        <n v="0.59294999999999998" u="1"/>
        <n v="0.34568235294117644" u="1"/>
        <n v="0.96182797073170723" u="1"/>
        <n v="0.97659017003157911" u="1"/>
        <n v="0.89807550243902456" u="1"/>
        <n v="0.82833581395348843" u="1"/>
        <n v="0.99623428333333319" u="1"/>
        <n v="0.52914530000000015" u="1"/>
        <n v="0.1962479999999982" u="1"/>
        <n v="0.11413231199999946" u="1"/>
        <n v="0.1141323119999995" u="1"/>
        <n v="0.14640768000000043" u="1"/>
        <n v="0.11413231199999954" u="1"/>
        <n v="0.91277614634146365" u="1"/>
        <n v="0.11825952941176135" u="1"/>
        <n v="0.46677648333333321" u="1"/>
        <n v="0.66550380487804872" u="1"/>
        <n v="0.66992435294121655" u="1"/>
        <n v="0.89862797354654034" u="1"/>
        <n v="0.63483894736842106" u="1"/>
        <n v="0.69527697560975599" u="1"/>
        <n v="0.85799999999999998" u="1"/>
        <n v="0.77129722222222219" u="1"/>
        <n v="0.66353579069767443" u="1"/>
        <n v="0.38444444444444442" u="1"/>
        <n v="0.49933333333333335" u="1"/>
        <n v="0.93208962590070077" u="1"/>
        <n v="0.79115789473684206" u="1"/>
        <n v="0.93633402428190704" u="1"/>
        <n v="0.78995163359984211" u="1"/>
        <n v="0.19624800000000001" u="1"/>
        <n v="0.67246974418604655" u="1"/>
        <n v="0.84633333333333338" u="1"/>
        <n v="0.64982581395348837" u="1"/>
        <n v="0.8559444444444444" u="1"/>
        <n v="0.14788426470587715" u="1"/>
        <n v="0.96297397073170754" u="1"/>
        <n v="0.73599999999999999" u="1"/>
        <n v="0.97692599999999996" u="1"/>
        <n v="0.78843414634146336" u="1"/>
        <n v="0.76136000000000004" u="1"/>
        <n v="0.37366284599999849" u="1"/>
        <n v="0.93999428888888881" u="1"/>
        <n v="0.38581525999999805" u="1"/>
        <n v="0.89458098904352978" u="1"/>
        <n v="0.5621926055555555" u="1"/>
        <n v="0.59339372093023257" u="1"/>
        <n v="0.40683076923076922" u="1"/>
        <n v="0.94269057655789468" u="1"/>
        <n v="0.86299007368421066" u="1"/>
        <n v="0.96276894736842089" u="1"/>
        <n v="0.40197757106796123" u="1"/>
        <n v="0.74678222222222224" u="1"/>
        <n v="0.25415944117647843" u="1"/>
        <n v="0.91386844210526319" u="1"/>
        <n v="0.54050100000000234" u="1"/>
        <n v="0.7420274418604651" u="1"/>
        <n v="0.89233333333333331" u="1"/>
        <n v="0.18509226470588053" u="1"/>
        <n v="0.81936630145099199" u="1"/>
        <n v="0.90194444444444444" u="1"/>
        <n v="0.76277777777777778" u="1"/>
        <n v="0.93135487039999998" u="1"/>
        <n v="0.27998906999999978" u="1"/>
        <n v="0.95074934444444426" u="1"/>
        <n v="0.5640095444444444" u="1"/>
        <n v="0.89161606315789455" u="1"/>
        <n v="0.18643138000000126" u="1"/>
        <n v="0.83704871736842101" u="1"/>
        <n v="0.98980572222222063" u="1"/>
        <n v="0.11832488235293773" u="1"/>
        <n v="0.52225814444444441" u="1"/>
        <n v="0.90763063157894719" u="1"/>
        <n v="0.72022222222222221" u="1"/>
        <n v="0.94103467368421023" u="1"/>
        <n v="0.96494777777777785" u="1"/>
        <n v="0.99317116279069773" u="1"/>
        <n v="0.77863325581395348" u="1"/>
        <n v="0.21806700000000001" u="1"/>
        <n v="0.70274400000000004" u="1"/>
        <n v="0.55925925925925923" u="1"/>
        <n v="0.14946778199999999" u="1"/>
        <n v="0.96986926111110938" u="1"/>
        <n v="0.83893812777777776" u="1"/>
        <n v="0.94018353170731683" u="1"/>
        <n v="0.71816666666666662" u="1"/>
        <n v="0.44181028273684203" u="1"/>
        <n v="0.4891311888888889" u="1"/>
        <n v="0.92003814736842104" u="1"/>
        <n v="0.79314435294117647" u="1"/>
        <n v="0.9616538" u="1"/>
        <n v="0.82173720930232552" u="1"/>
        <n v="0.14209522699999952" u="1"/>
        <n v="0.8501437361111106" u="1"/>
        <n v="0.52826397777777756" u="1"/>
        <n v="0.85660906976744178" u="1"/>
        <n v="0.95324968421052625" u="1"/>
        <n v="0.31933333333333336" u="1"/>
        <n v="0.85302536768334813" u="1"/>
        <n v="0.58336578947368423" u="1"/>
        <n v="0.72189473684210526" u="1"/>
        <n v="0.46736852646153848" u="1"/>
        <n v="0.7254960023689665" u="1"/>
        <n v="0.41122001048543688" u="1"/>
        <n v="0.12966666666666668" u="1"/>
        <n v="0.98525369767441862" u="1"/>
        <n v="0.40333333333333332" u="1"/>
        <n v="0.93203495999999997" u="1"/>
        <n v="0.996" u="1"/>
        <n v="0.962081362410526" u="1"/>
        <n v="0.96816631578947365" u="1"/>
        <n v="0.54654573333333345" u="1"/>
        <n v="0.2133166499999998" u="1"/>
        <n v="0.71462975609756096" u="1"/>
        <n v="0.90317132222222218" u="1"/>
        <n v="0.60400263157894729" u="1"/>
        <n v="0.40593921999999993" u="1"/>
        <n v="0.86646305000000001" u="1"/>
        <n v="0.86387651162790691" u="1"/>
        <n v="0.35777777777777775" u="1"/>
        <n v="0.6830357142857143" u="1"/>
        <n v="0.34127100000000204" u="1"/>
        <n v="0.82388888888888889" u="1"/>
        <n v="0.92538829473684214" u="1"/>
        <n v="0.25010818999999995" u="1"/>
        <n v="0.61333333333333329" u="1"/>
        <n v="0.9944354666666666" u="1"/>
        <n v="0.81222222222222218" u="1"/>
        <n v="0.90059999999999996" u="1"/>
        <n v="0.58352105263157894" u="1"/>
        <n v="0.47144615384615385" u="1"/>
        <n v="0.89734653333333336" u="1"/>
        <n v="0.68266666666666664" u="1"/>
        <n v="0.48343625901052617" u="1"/>
        <n v="0.91590168788865856" u="1"/>
        <n v="0.82678695010526304" u="1"/>
        <n v="0.87194444444444441" u="1"/>
        <n v="0.97515789473684211" u="1"/>
        <n v="9.1217079999999728E-2" u="1"/>
        <n v="0.67248842105263162" u="1"/>
        <n v="0.93051031487513569" u="1"/>
        <n v="0.34611111111111109" u="1"/>
        <n v="9.1217079999999798E-2" u="1"/>
        <n v="0.52053571428571432" u="1"/>
        <n v="0.71869043902439023" u="1"/>
        <n v="0.82636770526315806" u="1"/>
        <n v="0.10778276470588263" u="1"/>
        <n v="0.29539403899999978" u="1"/>
        <n v="0.77241356097560976" u="1"/>
        <n v="0.32452307692307691" u="1"/>
        <n v="0.23977417647059415" u="1"/>
        <n v="0.82607837330964362" u="1"/>
        <n v="0.77636666666666665" u="1"/>
        <n v="0.69022222222222218" u="1"/>
        <n v="0.85520653658536583" u="1"/>
        <n v="0.3448412941176473" u="1"/>
        <n v="0.73453666092631575" u="1"/>
        <n v="0.70946994736842106" u="1"/>
        <n v="0.78680843832690017" u="1"/>
        <n v="0.70944444444444443" u="1"/>
        <n v="0.93922222222222218" u="1"/>
        <n v="0.9577411684210525" u="1"/>
        <n v="0.38907763446601945" u="1"/>
        <n v="0.75086368571710593" u="1"/>
        <n v="0.98082359999999991" u="1"/>
        <n v="0.49883076923076924" u="1"/>
        <n v="0.61846157894736842" u="1"/>
        <n v="0.92646333037212514" u="1"/>
        <n v="0.90413267222222238" u="1"/>
        <n v="0.92755555555555558" u="1"/>
        <n v="0.72121999999999997" u="1"/>
        <n v="0.83593785263157905" u="1"/>
        <n v="0.9069495157894738" u="1"/>
        <n v="0.89314790697674418" u="1"/>
        <n v="0.89666666666666661" u="1"/>
        <n v="0.98560277777777772" u="1"/>
        <n v="8.2333333333333328E-2" u="1"/>
        <n v="0.85616666666666663" u="1"/>
        <n v="0.62746945365853668" u="1"/>
        <n v="0.535515873015873" u="1"/>
        <n v="0.8281697441860465" u="1"/>
        <n v="0.91243248821052625" u="1"/>
        <n v="0.97164705882352942" u="1"/>
        <n v="0.53688892777777775" u="1"/>
        <n v="0.38833333333333331" u="1"/>
        <n v="0.73622222222222222" u="1"/>
        <n v="0.25537974999999813" u="1"/>
        <n v="0.75551395348837214" u="1"/>
        <n v="0.89653756111110705" u="1"/>
        <n v="0.91906906976744185" u="1"/>
        <n v="0.66347903888888893" u="1"/>
        <n v="0.85549304116079361" u="1"/>
        <n v="0.87010166814727075" u="1"/>
        <n v="0.93245733333333336" u="1"/>
        <n v="0.93380453333333324" u="1"/>
        <n v="0.22796674699999811" u="1"/>
        <n v="0.66502953488372096" u="1"/>
        <n v="0.94064627906976739" u="1"/>
        <n v="0.88895469351495415" u="1"/>
        <n v="0.94094126829268288" u="1"/>
        <n v="0.112" u="1"/>
        <n v="0.29266666666666669" u="1"/>
        <n v="0.51542318333333348" u="1"/>
        <n v="0.74512156097560955" u="1"/>
        <n v="0.93305555555555553" u="1"/>
        <n v="0.70704365079365084" u="1"/>
        <n v="0.24547941176470589" u="1"/>
        <n v="0.92072576000000006" u="1"/>
        <n v="0.97236999999999996" u="1"/>
        <n v="0.94638796842105222" u="1"/>
        <n v="0.65143473684210529" u="1"/>
        <n v="0.39005674582524275" u="1"/>
        <n v="0.43072016694736831" u="1"/>
        <n v="0.418179687961165" u="1"/>
        <n v="0.99358404895864183" u="1"/>
        <n v="0.85713499999999998" u="1"/>
        <n v="0.59886535609756097" u="1"/>
        <n v="0.49533333333333335" u="1"/>
        <n v="0.82147657894736836" u="1"/>
        <n v="0.12258282199999999" u="1"/>
        <n v="0.55132116111111096" u="1"/>
        <n v="0.59173076923076928" u="1"/>
        <n v="0.64321206976744194" u="1"/>
        <n v="0.72425263157894737" u="1"/>
        <n v="0.74518252682926822" u="1"/>
        <n v="0.20281918199999965" u="1"/>
        <n v="0.56000000000000005" u="1"/>
        <n v="0.67004338589473666" u="1"/>
        <n v="0.76434720930232558" u="1"/>
        <n v="0.93297798835258117" u="1"/>
        <n v="0.62051210526315792" u="1"/>
        <n v="0.73371246133892043" u="1"/>
        <n v="0.62095423414634143" u="1"/>
        <n v="0.93261733684210513" u="1"/>
        <n v="0.69332368421052626" u="1"/>
        <n v="0.89482153055555524" u="1"/>
        <n v="0.71838888888888885" u="1"/>
        <n v="0.98866666666666669" u="1"/>
        <n v="0.27801594799999835" u="1"/>
        <n v="0.8096930214194058" u="1"/>
        <n v="0.84979209302325587" u="1"/>
        <n v="0.34238169299999976" u="1"/>
        <n v="0.99220909333333329" u="1"/>
        <n v="0.86200769914124964" u="1"/>
        <n v="9.0177659999999105E-2" u="1"/>
        <n v="9.017765999999916E-2" u="1"/>
        <n v="0.96533333333333338" u="1"/>
        <n v="0.51676556666666673" u="1"/>
        <n v="0.61061485052631581" u="1"/>
        <n v="0.78156684210526317" u="1"/>
        <n v="0.24116320588235823" u="1"/>
        <n v="0.6426590034736841" u="1"/>
        <n v="0.89748666666666665" u="1"/>
        <n v="0.60599999999999998" u="1"/>
        <n v="0.65272105263157898" u="1"/>
        <n v="0.72815308292682912" u="1"/>
        <n v="0.96452366111111076" u="1"/>
        <n v="0.67481481481481487" u="1"/>
        <n v="0.81631840555555568" u="1"/>
        <n v="0.89042066666666664" u="1"/>
        <n v="0.8300560465116279" u="1"/>
        <n v="0.88314331578947391" u="1"/>
        <n v="0.86830593888888885" u="1"/>
        <n v="0.94987746341463419" u="1"/>
        <n v="0.85796071463823909" u="1"/>
        <n v="0.14342412699999951" u="1"/>
        <n v="0.78568421052631576" u="1"/>
        <n v="0.61949638048780498" u="1"/>
        <n v="0.7894027512195122" u="1"/>
        <n v="0.49394841269841272" u="1"/>
        <n v="0.67327777777777775" u="1"/>
        <n v="0.90906768421052653" u="1"/>
        <n v="0.22646288235294096" u="1"/>
        <n v="0.58565654999999994" u="1"/>
        <n v="0.76389300167801799" u="1"/>
        <n v="0.92488401934656006" u="1"/>
        <n v="0.34469424990291253" u="1"/>
        <n v="0.63784526315789469" u="1"/>
        <n v="0.97037441052631612" u="1"/>
        <n v="0.19492827400000004" u="1"/>
        <n v="0.87196146666666674" u="1"/>
        <n v="0.97289803888888893" u="1"/>
        <n v="0.47164615384615383" u="1"/>
        <n v="0.9451424842105266" u="1"/>
        <n v="0.73010839024390251" u="1"/>
        <n v="0.75094139534883719" u="1"/>
        <n v="0.99063096000000006" u="1"/>
        <n v="0.5157788166666667" u="1"/>
        <n v="0.65955555555555556" u="1"/>
        <n v="0.68018255813953488" u="1"/>
        <n v="0.37346866347572827" u="1"/>
        <n v="0.68631578947368421" u="1"/>
        <n v="0.14397782352941177" u="1"/>
        <n v="0.94532545263157874" u="1"/>
        <n v="0.63733093023255816" u="1"/>
        <n v="0.51962813648205119" u="1"/>
        <n v="0.82066925263157875" u="1"/>
        <n v="0.80774219295620076" u="1"/>
        <n v="0.82052487368421057" u="1"/>
        <n v="0.92777777777777781" u="1"/>
        <n v="0.92083703484354951" u="1"/>
        <n v="0.93112546666666662" u="1"/>
        <n v="0.90233175833333268" u="1"/>
        <n v="0.6671111111111111" u="1"/>
        <n v="0.77869904254269073" u="1"/>
        <n v="0.93544566183002664" u="1"/>
        <n v="0.66738300000000006" u="1"/>
        <n v="0.67109746182105268" u="1"/>
        <n v="0.72578953488372089" u="1"/>
        <n v="0.95429868719771005" u="1"/>
        <n v="0.72683333333333333" u="1"/>
        <n v="0.86317647058823532" u="1"/>
        <n v="0.51245925000000003" u="1"/>
        <n v="0.6907184615384615" u="1"/>
        <n v="0.7881083720930232" u="1"/>
        <n v="0.69305263157894736" u="1"/>
        <n v="0.56929999999999992" u="1"/>
        <n v="0.89641023255813945" u="1"/>
        <n v="0.61549174158947373" u="1"/>
        <n v="0.44665143249230777" u="1"/>
        <n v="0.18122964705882352" u="1"/>
        <n v="0.79133631578947361" u="1"/>
        <n v="0.5521951162790697" u="1"/>
        <n v="0.68921480594632345" u="1"/>
        <n v="0.96858823529411764" u="1"/>
        <n v="0.68427777777777776" u="1"/>
        <n v="0.25429014705883146" u="1"/>
        <n v="0.67715473684210525" u="1"/>
        <n v="0.70473684210526311" u="1"/>
        <n v="0.82719744587448862" u="1"/>
        <n v="0.75315472195121957" u="1"/>
        <n v="0.33000881395348836" u="1"/>
        <n v="0.49166666666666664" u="1"/>
        <n v="0.68436429411770316" u="1"/>
        <n v="0.96718813333333331" u="1"/>
        <n v="0.79350508340736359" u="1"/>
        <n v="0.90081788333333357" u="1"/>
        <n v="0.54759552777777776" u="1"/>
        <n v="0.79905526315789466" u="1"/>
        <n v="0.54206917999999993" u="1"/>
        <n v="0.73344999999999994" u="1"/>
        <n v="0.76793375236955008" u="1"/>
        <n v="0.90635294117647058" u="1"/>
        <n v="0.6518518518518519" u="1"/>
        <n v="0.73851874183499144" u="1"/>
        <n v="0.97745023255813956" u="1"/>
        <n v="0.66081349206349205" u="1"/>
        <n v="0.42153429796116515" u="1"/>
        <n v="0.71105555555555555" u="1"/>
        <n v="0.61577969230769236" u="1"/>
        <n v="0.80166666666666664" u="1"/>
        <n v="0.78938837209302326" u="1"/>
        <n v="0.54100000000000004" u="1"/>
        <n v="0.8750370151021617" u="1"/>
        <n v="0.81579740729574912" u="1"/>
        <n v="0.59111111111111114" u="1"/>
        <n v="0.87928141348336786" u="1"/>
        <n v="0.52449926174358985" u="1"/>
        <n v="0.84321444444444449" u="1"/>
        <n v="0.70615063414634138" u="1"/>
        <n v="0.9127430658375284" u="1"/>
        <n v="9.1896160300069099E-2" u="1"/>
        <n v="0.11660118600000023" u="1"/>
        <n v="0.61767105263157895" u="1"/>
        <n v="0.88030228333333316" u="1"/>
        <n v="0.78521370052314676" u="1"/>
        <n v="0.9010588235294118" u="1"/>
        <n v="0.8381489333333334" u="1"/>
        <n v="0.80406672589083017" u="1"/>
        <n v="0.95517647058823529" u="1"/>
        <n v="0.86040533611111047" u="1"/>
        <n v="0.97966637054584937" u="1"/>
        <n v="9.8666666666666666E-2" u="1"/>
        <n v="0.95891892777777765" u="1"/>
        <n v="0.99222046511627904" u="1"/>
        <n v="0.56997105263157899" u="1"/>
        <n v="0.64725736842105264" u="1"/>
        <n v="0.29650181499999995" u="1"/>
        <n v="0.45366666666666666" u="1"/>
        <n v="0.97348331578947356" u="1"/>
        <n v="0.11966666666666667" u="1"/>
        <n v="0.91042333333333325" u="1"/>
        <n v="0.48364934999999998" u="1"/>
        <n v="0.89627604651162796" u="1"/>
        <n v="0.24565461764706437" u="1"/>
        <n v="0.90445168295331158" u="1"/>
        <n v="0.52832003888888901" u="1"/>
        <n v="0.90869608133451785" u="1"/>
        <n v="0.39877496805825263" u="1"/>
        <n v="0.83867116279069764" u="1"/>
        <n v="0.57533333333333336" u="1"/>
        <n v="0.76839611111111106" u="1"/>
        <n v="0.70555052631578941" u="1"/>
        <n v="0.80511111111111111" u="1"/>
        <n v="6.3877583333338234E-2" u="1"/>
        <n v="0.60615569756097576" u="1"/>
        <n v="0.45352386666666655" u="1"/>
        <n v="0.78116671602013621" u="1"/>
        <n v="0.88355738461538458" u="1"/>
        <n v="0.77759250256842116" u="1"/>
        <n v="0.64466666666666672" u="1"/>
        <n v="0.57972523529414699" u="1"/>
        <n v="0.51645599999999992" u="1"/>
        <n v="0.25714679999999818" u="1"/>
        <n v="0.93790465116279065" u="1"/>
        <n v="0.81266666666666665" u="1"/>
        <n v="0.32156670588236219" u="1"/>
        <n v="0.76646388888888883" u="1"/>
        <n v="0.25487670588235295" u="1"/>
        <n v="0.80368097917283576" u="1"/>
        <n v="0.85454292682926813" u="1"/>
        <n v="0.93706480000000003" u="1"/>
        <n v="0.29715848699999869" u="1"/>
        <n v="0.35644705882352945" u="1"/>
        <n v="0.47666666666666668" u="1"/>
        <n v="0.76394332227916795" u="1"/>
        <n v="0.96527756842105261" u="1"/>
        <n v="0.98113598048780482" u="1"/>
        <n v="0.31361676470588795" u="1"/>
        <n v="0.4612222222222222" u="1"/>
        <n v="0.17944670588235073" u="1"/>
        <n v="0.8992343953488372" u="1"/>
        <n v="0.91925772381798443" u="1"/>
        <n v="0.47790697674418603" u="1"/>
        <n v="0.94343626666666669" u="1"/>
        <n v="0.10170663999999972" u="1"/>
        <n v="0.99305882352941177" u="1"/>
        <n v="0.10170663999999974" u="1"/>
        <n v="0.73828699063157888" u="1"/>
        <n v="0.90377427368421059" u="1"/>
        <n v="0.63795658536585353" u="1"/>
        <n v="0.40067120886407775" u="1"/>
        <n v="0.79597275688480895" u="1"/>
        <n v="0.30990547058823531" u="1"/>
        <n v="0.6351853343157895" u="1"/>
        <n v="0.69066666666666665" u="1"/>
        <n v="0.96775169756097568" u="1"/>
        <n v="0.99018439999999996" u="1"/>
        <n v="0.83944444444444444" u="1"/>
        <n v="0.25190751399999983" u="1"/>
        <n v="0.90385180829167888" u="1"/>
        <n v="0.46500000000000002" u="1"/>
        <n v="0.7913628292682926" u="1"/>
        <n v="0.88955555555555554" u="1"/>
        <n v="0.85395722222222215" u="1"/>
        <n v="0.68729641693811072" u="1"/>
        <n v="0.62888888888888894" u="1"/>
        <n v="0.86289606159313004" u="1"/>
        <n v="0.36850396544660202" u="1"/>
        <n v="0.74336842105263157" u="1"/>
        <n v="0.68861111111111106" u="1"/>
        <n v="0.13733333333333334" u="1"/>
        <n v="0.69822222222222219" u="1"/>
        <n v="0.92800000000000005" u="1"/>
        <n v="0.98778806666666663" u="1"/>
        <n v="0.10716012" u="1"/>
        <n v="0.91521073931497388" u="1"/>
        <n v="0.50707717647058825" u="1"/>
        <n v="0.74932290094736831" u="1"/>
        <n v="0.78768137400059224" u="1"/>
        <n v="0.89512444444444439" u="1"/>
        <n v="0.7627279069767442" u="1"/>
        <n v="0.8024545294118629" u="1"/>
        <n v="0.96328101865561144" u="1"/>
        <n v="0.7218049658536585" u="1"/>
        <n v="0.74872745555555598" u="1"/>
        <n v="0.52611111111111108" u="1"/>
        <n v="0.26490779199999825" u="1"/>
        <n v="0.61533076923076924" u="1"/>
        <n v="0.86505279999999996" u="1"/>
        <n v="0.83496157894736844" u="1"/>
        <n v="0.93982999999999994" u="1"/>
        <n v="0.81449922777777817" u="1"/>
        <n v="0.87345770407659662" u="1"/>
        <n v="0.56530379999999991" u="1"/>
        <n v="0.27580778999999978" u="1"/>
        <n v="0.84611786666666655" u="1"/>
        <n v="0.73131971177573785" u="1"/>
        <n v="0.61310406786315796" u="1"/>
        <n v="0.89231072944427992" u="1"/>
        <n v="0.47602307692307694" u="1"/>
        <n v="0.86789473684210527" u="1"/>
        <n v="0.75017273714342114" u="1"/>
        <n v="0.90691935643075705" u="1"/>
        <n v="0.52394416430769242" u="1"/>
        <n v="0.96615396097560979" u="1"/>
        <n v="0.62141911219512191" u="1"/>
        <n v="0.92577238179844046" u="1"/>
        <n v="0.62219692307692309" u="1"/>
        <n v="0.69258263157894739" u="1"/>
        <n v="0.81458136585365848" u="1"/>
        <n v="0.14757055882352413" u="1"/>
        <n v="0.67742629411770283" u="1"/>
        <n v="0.69205555555555553" u="1"/>
        <n v="0.29666666666666669" u="1"/>
        <n v="0.70166666666666666" u="1"/>
        <n v="0.31477023255813952" u="1"/>
        <n v="0.73010697674418601" u="1"/>
        <n v="0.92559116666666685" u="1"/>
        <n v="0.11178305400000005" u="1"/>
        <n v="0.68177789473684214" u="1"/>
        <n v="0.39611111111111114" u="1"/>
        <n v="0.71127777777777779" u="1"/>
        <n v="0.12166666666666667" u="1"/>
        <n v="0.83494611578947364" u="1"/>
        <n v="0.95066666666666666" u="1"/>
        <n v="0.92807631666666668" u="1"/>
        <n v="0.84741315789473681" u="1"/>
        <n v="0.59133333333333338" u="1"/>
        <n v="0.80534476923076925" u="1"/>
        <n v="0.82111111111111112" u="1"/>
        <n v="0.84756139534883723" u="1"/>
        <n v="0.85551943157894728" u="1"/>
        <n v="0.91688600555555544" u="1"/>
        <n v="0.89110769145263147" u="1"/>
        <n v="0.13010234000000084" u="1"/>
        <n v="0.96095944444444448" u="1"/>
        <n v="0.47834940555555555" u="1"/>
        <n v="0.6745676923076922" u="1"/>
        <n v="0.46557539682539684" u="1"/>
        <n v="0.2815897159999986" u="1"/>
        <n v="0.76073437962688772" u="1"/>
        <n v="0.9133037209302326" u="1"/>
        <n v="0.705017356097561" u="1"/>
        <n v="0.85815244444444438" u="1"/>
        <n v="0.82418491707317088" u="1"/>
        <n v="0.37820700728155338" u="1"/>
        <n v="0.74094736842105258" u="1"/>
        <n v="8.380862E-2" u="1"/>
        <n v="0.19798100000000041" u="1"/>
        <n v="0.61524681951219518" u="1"/>
        <n v="0.56338551111111124" u="1"/>
        <n v="0.79439252336448596" u="1"/>
        <n v="0.9405784226631132" u="1"/>
        <n v="0.88622202926829263" u="1"/>
        <n v="0.9192754666666666" u="1"/>
        <n v="0.71891186046511624" u="1"/>
        <n v="0.61588346802354588" u="1"/>
        <n v="0.87681921052631573" u="1"/>
        <n v="0.1738924" u="1"/>
        <n v="0.79777777777777781" u="1"/>
        <n v="0.78829000000000005" u="1"/>
        <n v="0.76868448780487808" u="1"/>
        <n v="0.81364999999999998" u="1"/>
        <n v="0.87336302439024383" u="1"/>
        <n v="0.51510505774358972" u="1"/>
        <n v="7.0813235294116428E-2" u="1"/>
        <n v="0.70405526315789468" u="1"/>
        <n v="0.63733333333333331" u="1"/>
        <n v="0.83534086829268306" u="1"/>
        <n v="0.66164953488372091" u="1"/>
        <n v="0.56130631578947365" u="1"/>
        <n v="0.8362222222222222" u="1"/>
        <n v="0.26269505882352939" u="1"/>
        <n v="0.86346132222222205" u="1"/>
        <n v="0.88506262357894727" u="1"/>
        <n v="0.18873604500000085" u="1"/>
        <n v="0.94662613333333334" u="1"/>
        <n v="0.283953488372093" u="1"/>
        <n v="0.77444444444444449" u="1"/>
        <n v="0.90691499999999992" u="1"/>
        <n v="0.76820723529411761" u="1"/>
        <n v="0.92628099444444445" u="1"/>
        <n v="0.91953347054787804" u="1"/>
        <n v="0.81397689473684198" u="1"/>
        <n v="0.73713421052631578" u="1"/>
        <n v="0.98290183720930224" u="1"/>
        <n v="0.77949697674418605" u="1"/>
        <n v="0.90061023255813943" u="1"/>
        <n v="0.92222873170731701" u="1"/>
        <n v="0.45367063492063492" u="1"/>
        <n v="0.27247614699999823" u="1"/>
        <n v="0.33580969799999894" u="1"/>
        <n v="0.92242868333333339" u="1"/>
        <n v="0.9660797333333333" u="1"/>
        <n v="0.56955929411767692" u="1"/>
        <n v="0.91777741860465112" u="1"/>
        <n v="0.5232836669473685" u="1"/>
        <n v="0.7025555555555556" u="1"/>
        <n v="0.35021538461538465" u="1"/>
        <n v="0.99537486666666664" u="1"/>
        <n v="0.10742262" u="1"/>
        <n v="0.54699565113846138" u="1"/>
        <n v="0.84979501463414631" u="1"/>
        <n v="0.92824005527588593" u="1"/>
        <n v="0.95364108595511121" u="1"/>
        <n v="0.70128090697674417" u="1"/>
        <n v="0.39035637749514562" u="1"/>
        <n v="0.89182746574736838" u="1"/>
        <n v="0.69305369999999999" u="1"/>
        <n v="0.64119488372093025" u="1"/>
        <n v="0.95303760000000004" u="1"/>
        <n v="0.88669415000000018" u="1"/>
        <n v="0.95044546341463387" u="1"/>
        <n v="0.99617839999999991" u="1"/>
        <n v="0.72933333333333328" u="1"/>
        <n v="0.26122180999999833" u="1"/>
        <n v="0.79084999999999994" u="1"/>
        <n v="0.44921089456410251" u="1"/>
        <n v="0.7075973684210527" u="1"/>
        <n v="0.46888888888888891" u="1"/>
        <n v="0.80042105263157892" u="1"/>
        <n v="0.89461140000000006" u="1"/>
        <n v="0.50599481111111111" u="1"/>
        <n v="0.60181770905263132" u="1"/>
        <n v="0.53726436666666677" u="1"/>
        <n v="0.46072151111111109" u="1"/>
        <n v="0.95211253333333334" u="1"/>
        <n v="0.92616666666666669" u="1"/>
        <n v="0.83783783783783783" u="1"/>
        <n v="0.70599999999999996" u="1"/>
        <n v="0.6995515474736842" u="1"/>
        <n v="0.52633333333333332" u="1"/>
        <n v="0.66315247804878052" u="1"/>
        <n v="0.54071531666666672" u="1"/>
        <n v="0.93017372093023254" u="1"/>
        <n v="0.97650774849471922" u="1"/>
        <n v="0.32189347058824402" u="1"/>
        <n v="0.97995902105263155" u="1"/>
        <n v="0.66562632273684219" u="1"/>
        <n v="0.76076695555555551" u="1"/>
        <n v="9.8810081000000119E-2" u="1"/>
        <n v="0.84897838318033758" u="1"/>
        <n v="0.59443789473684205" u="1"/>
        <n v="0.85322278156154374" u="1"/>
        <n v="0.83531746031746035" u="1"/>
        <n v="0.86835294117647055" u="1"/>
        <n v="0.77187594117647063" u="1"/>
        <n v="0.40912307692307698" u="1"/>
        <n v="0.76689333333333332" u="1"/>
        <n v="0.92488184999999956" u="1"/>
        <n v="0.4777538461538462" u="1"/>
        <n v="0.58399999999999996" u="1"/>
        <n v="0.78164888888888895" u="1"/>
        <n v="0.92014608626986483" u="1"/>
        <n v="0.79489514736842093" u="1"/>
        <n v="0.82081697674418608" u="1"/>
        <n v="0.36432413999999824" u="1"/>
        <n v="0.93899911163754812" u="1"/>
        <n v="0.30120664705882599" u="1"/>
        <n v="0.30414163899999846" u="1"/>
        <n v="0.95699828421052624" u="1"/>
        <n v="0.80069538888888914" u="1"/>
        <n v="0.93076986666666672" u="1"/>
        <n v="0.93534373333333332" u="1"/>
        <n v="0.99097744186046521" u="1"/>
        <n v="0.82133333333333336" u="1"/>
        <n v="0.87839305103148746" u="1"/>
        <n v="0.99582283157894735" u="1"/>
        <n v="0.97129411764705886" u="1"/>
        <n v="0.66686507936507933" u="1"/>
        <n v="0.12062149" u="1"/>
        <n v="0.87507326610526304" u="1"/>
        <n v="0.70542789473684209" u="1"/>
        <n v="0.95221013333333338" u="1"/>
        <n v="0.83600775555555573" u="1"/>
        <n v="0.96816506666666668" u="1"/>
        <n v="0.91609910176685416" u="1"/>
        <n v="0.51503616168421051" u="1"/>
        <n v="0.16883418000000147" u="1"/>
        <n v="0.8288888888888889" u="1"/>
        <n v="0.63945894736842102" u="1"/>
        <n v="0.64641052631578944" u="1"/>
        <n v="0.215366742" u="1"/>
        <n v="0.85750430000000011" u="1"/>
        <n v="0.69189473684210523" u="1"/>
        <n v="0.79078579547368411" u="1"/>
        <n v="0.85772222222222227" u="1"/>
        <n v="0.82627578718783934" u="1"/>
        <n v="0.86733333333333329" u="1"/>
        <n v="0.21476040399999982" u="1"/>
        <n v="0.64063076923076934" u="1"/>
        <n v="0.60666666666666669" u="1"/>
        <n v="0.20329933199999972" u="1"/>
        <n v="0.94246418604651161" u="1"/>
        <n v="0.62180769230769228" u="1"/>
        <n v="0.67327837209302333" u="1"/>
        <n v="0.62918674418604659" u="1"/>
        <n v="0.65677777777777779" u="1"/>
        <n v="0.57629629629629631" u="1"/>
        <n v="9.9666666666666667E-2" u="1"/>
        <n v="0.82220476666666664" u="1"/>
        <n v="0.47311111111111109" u="1"/>
        <n v="0.77466666666666661" u="1"/>
        <n v="0.40656162633980597" u="1"/>
        <n v="0.59499999999999997" u="1"/>
        <n v="0.91205211726384361" u="1"/>
        <n v="0.16123414000000033" u="1"/>
        <n v="0.34277777777777779" u="1"/>
        <n v="0.48181041176470918" u="1"/>
        <n v="0.38679660487378648" u="1"/>
        <n v="0.58333333333333337" u="1"/>
        <n v="0.49623015873015874" u="1"/>
        <n v="0.54847026666666654" u="1"/>
        <n v="0.86322222222222222" u="1"/>
        <n v="0.34593876470588736" u="1"/>
        <n v="0.8254814249473682" u="1"/>
        <n v="0.4097528881165049" u="1"/>
        <n v="0.79729333333333341" u="1"/>
        <n v="0.13529115700000072" u="1"/>
        <n v="0.33111111111111113" u="1"/>
        <n v="0.56099230769230768" u="1"/>
        <n v="0.54695407222222214" u="1"/>
        <n v="0.88832337242105286" u="1"/>
        <n v="0.94160833333333338" u="1"/>
        <n v="0.99775480555555485" u="1"/>
        <n v="0.88915210739314976" u="1"/>
        <n v="0.64441531707317068" u="1"/>
        <n v="0.9037607343796269" u="1"/>
        <n v="0.10742979999999996" u="1"/>
        <n v="0.53916712004102574" u="1"/>
        <n v="0.90800513276083306" u="1"/>
        <n v="0.76162274207876812" u="1"/>
        <n v="0.97057566666666673" u="1"/>
        <n v="0.7818936842105263" u="1"/>
        <n v="0.80806100000000003" u="1"/>
        <n v="0.50452307692307696" u="1"/>
        <n v="0.92252253333333334" u="1"/>
        <n v="8.939357999999975E-2" u="1"/>
        <n v="0.89" u="1"/>
        <n v="0.95607541210147073" u="1"/>
        <n v="8.9393579999999875E-2" u="1"/>
        <n v="0.75670594117653978" u="1"/>
        <n v="0.70872157894736842" u="1"/>
        <n v="0.93321873170731695" u="1"/>
        <n v="0.84101548421052652" u="1"/>
        <n v="0.69034368421052639" u="1"/>
        <n v="0.69402995121951216" u="1"/>
        <n v="8.8134764705881011E-2" u="1"/>
        <n v="0.7551949055555558" u="1"/>
        <n v="0.85295423126315795" u="1"/>
        <n v="8.8134764705881066E-2" u="1"/>
        <n v="0.88794444444444443" u="1"/>
        <n v="0.8662520975224558" u="1"/>
        <n v="0.48420916272631592" u="1"/>
        <n v="0.72411410522159703" u="1"/>
        <n v="0.33317400000000574" u="1"/>
        <n v="0.79180197222222226" u="1"/>
        <n v="0.10212435294117647" u="1"/>
        <n v="0.93822767441860466" u="1"/>
        <n v="0.89971374987661634" u="1"/>
        <n v="0.89059488372093021" u="1"/>
        <n v="0.38600783925242721" u="1"/>
        <n v="0.69661111111111107" u="1"/>
        <n v="0.13060720000000101" u="1"/>
        <n v="0.13933333333333334" u="1"/>
        <n v="0.59505263157894739" u="1"/>
        <n v="0.63606767441860468" u="1"/>
        <n v="0.85029055555555555" u="1"/>
        <n v="0.93317540223077677" u="1"/>
        <n v="0.75281102439024394" u="1"/>
        <n v="0.93600000000000005" u="1"/>
        <n v="0.13060720000000126" u="1"/>
        <n v="0.75266883720930233" u="1"/>
        <n v="0.99245020487804869" u="1"/>
        <n v="0.67645" u="1"/>
        <n v="0.84306736842105268" u="1"/>
        <n v="0.4934544628717949" u="1"/>
        <n v="0.38231341019417481" u="1"/>
        <n v="0.72540477073170739" u="1"/>
        <n v="0.64253789473684209" u="1"/>
        <n v="0.70850999999999997" u="1"/>
        <n v="0.70416666666666672" u="1"/>
        <n v="0.60011904651162795" u="1"/>
        <n v="0.9109658139534883" u="1"/>
        <n v="0.55895467336410254" u="1"/>
        <n v="0.6539048823529835" u="1"/>
        <n v="0.90653950243902437" u="1"/>
        <n v="0.23908314900000063" u="1"/>
        <n v="0.5842222222222222" u="1"/>
        <n v="0.73660157894736844" u="1"/>
        <n v="0.79871921951219516" u="1"/>
        <n v="0.89566676537360579" u="1"/>
        <n v="0.54761904761904767" u="1"/>
        <n v="0.45226322222222226" u="1"/>
        <n v="0.92227777777777775" u="1"/>
        <n v="0.55333333333333334" u="1"/>
        <n v="0.97372148872631581" u="1"/>
        <n v="0.98472842105263159" u="1"/>
        <n v="0.91451979074128908" u="1"/>
        <n v="0.35624166999999973" u="1"/>
        <n v="0.89930181052631586" u="1"/>
        <n v="0.77238179844043031" u="1"/>
        <n v="0.57831842105263154" u="1"/>
        <n v="0.51931982777777785" u="1"/>
        <n v="9.2999999999999999E-2" u="1"/>
        <n v="0.65552248105263178" u="1"/>
        <n v="0.41286" u="1"/>
        <n v="0.82109736842105263" u="1"/>
        <n v="0.54086287777777786" u="1"/>
        <n v="0.56956242547368419" u="1"/>
        <n v="0.94036567804878046" u="1"/>
        <n v="0.79656893741052637" u="1"/>
        <n v="0.45677652235897448" u="1"/>
        <n v="0.42100947810526312" u="1"/>
        <n v="0.75298964928147927" u="1"/>
        <n v="0.65627050555555533" u="1"/>
        <n v="0.65942460317460316" u="1"/>
        <n v="0.98955555555555552" u="1"/>
        <n v="0.81001984126984128" u="1"/>
        <n v="0.3803516046511628" u="1"/>
        <n v="0.76793736842105265" u="1"/>
        <n v="0.79048253658536594" u="1"/>
        <n v="0.16711664705882354" u="1"/>
        <n v="0.89161978087059524" u="1"/>
        <n v="0.40805952125242706" u="1"/>
        <n v="0.42800825446153845" u="1"/>
        <n v="0.91047280623827853" u="1"/>
        <n v="0.65347222222222223" u="1"/>
        <n v="0.2909230769230769" u="1"/>
        <n v="0.83003555555555553" u="1"/>
        <n v="0.87109388888888895" u="1"/>
        <n v="0.76733333333333331" u="1"/>
        <n v="0.8579444444444444" u="1"/>
        <n v="0.63777777777777778" u="1"/>
        <n v="0.94350144210526332" u="1"/>
        <n v="0.67426710097719866" u="1"/>
        <n v="0.98739206666666668" u="1"/>
        <n v="0.91810742105263121" u="1"/>
        <n v="0.85411114401342414" u="1"/>
        <n v="0.85773924444444438" u="1"/>
        <n v="0.75362953488372098" u="1"/>
        <n v="0.31156029411764824" u="1"/>
        <n v="0.80710758823538764" u="1"/>
        <n v="0.69650769230769238" u="1"/>
        <n v="0.98763800000000002" u="1"/>
        <n v="0.45777777777777778" u="1"/>
        <n v="0.97881507317073169" u="1"/>
        <n v="0.92495548333333355" u="1"/>
        <n v="0.4849846153846154" u="1"/>
        <n v="0.78668682777777754" u="1"/>
        <n v="0.20807658823529412" u="1"/>
        <n v="0.5791577080000001" u="1"/>
        <n v="0.61444444444444446" u="1"/>
        <n v="0.77752028292682918" u="1"/>
        <n v="0.13317318700000061" u="1"/>
        <n v="0.90693826666666666" u="1"/>
        <n v="0.85383333333333333" u="1"/>
        <n v="0.95449610107590566" u="1"/>
        <n v="0.72647737560975612" u="1"/>
        <n v="0.96217043902439003" u="1"/>
        <n v="0.40422911764705882" u="1"/>
        <n v="0.89079978333333287" u="1"/>
        <n v="0.98795775343006609" u="1"/>
        <n v="0.75337301587301586" u="1"/>
        <n v="0.76947040498442365" u="1"/>
        <n v="0.93277777777777782" u="1"/>
        <n v="0.95764705882352941" u="1"/>
        <n v="0.82462395348837203" u="1"/>
        <n v="0.67533777777777781" u="1"/>
        <n v="0.92109895999999991" u="1"/>
        <n v="0.92182509268292667" u="1"/>
        <n v="0.72646860465116281" u="1"/>
        <n v="0.93821502777777743" u="1"/>
        <n v="0.51360086694736851" u="1"/>
        <n v="0.91149999999999998" u="1"/>
        <n v="0.69455999999999996" u="1"/>
        <n v="0.69133333333333336" u="1"/>
        <n v="0.17823705882352942" u="1"/>
        <n v="0.68189684210526313" u="1"/>
        <n v="9.0840039999999164E-2" u="1"/>
        <n v="0.60035869589473678" u="1"/>
        <n v="0.43167463291262137" u="1"/>
        <n v="0.7413947919784496" u="1"/>
        <n v="0.82716414963971963" u="1"/>
        <n v="0.88270604651162787" u="1"/>
        <n v="0.68688421052631576" u="1"/>
        <n v="0.88816666666666666" u="1"/>
        <n v="0.27981994117647746" u="1"/>
        <n v="0.84177277662619687" u="1"/>
        <n v="0.51565581605128208" u="1"/>
        <n v="0.91947368421052633" u="1"/>
        <n v="0.89777777777777779" u="1"/>
        <n v="0.61038189444444457" u="1"/>
        <n v="0.92527186046511622" u="1"/>
        <n v="0.81336842105263163" u="1"/>
        <n v="0.94788888888888889" u="1"/>
        <n v="0.63613688516412248" u="1"/>
        <n v="0.68666388888888896" u="1"/>
        <n v="0.68722222222222218" u="1"/>
        <n v="0.8674074074074074" u="1"/>
        <n v="0.73733333333333329" u="1"/>
        <n v="0.40402627550485448" u="1"/>
        <n v="0.7575180748421052" u="1"/>
        <n v="0.88611111111111107" u="1"/>
        <n v="0.62302536077192383" u="1"/>
        <n v="0.82505263157894737" u="1"/>
        <n v="0.93166416279069775" u="1"/>
        <n v="0.92754910670220114" u="1"/>
        <n v="0.84411004878048745" u="1"/>
        <n v="0.61284210526315785" u="1"/>
        <n v="0.90533333333333332" u="1"/>
        <n v="0.80966721666666686" u="1"/>
        <n v="0.69125019473684213" u="1"/>
        <n v="0.80426413976902578" u="1"/>
        <n v="0.35412147058823529" u="1"/>
        <n v="0.82524747623248063" u="1"/>
        <n v="0.92544736585365883" u="1"/>
        <n v="0.46051121957894736" u="1"/>
        <n v="0.86093904651162789" u="1"/>
        <n v="0.83783428333333343" u="1"/>
        <n v="0.36547253488372095" u="1"/>
        <n v="0.35550515683495154" u="1"/>
        <n v="0.81337553846153843" u="1"/>
        <n v="0.75751180785850669" u="1"/>
        <n v="0.81495638537685" u="1"/>
        <n v="0.47683103928205134" u="1"/>
        <n v="0.64671082926829271" u="1"/>
        <n v="0.25548633099999818" u="1"/>
        <n v="0.49588888888888888" u="1"/>
        <n v="0.89661255813953489" u="1"/>
        <n v="0.95133333333333336" u="1"/>
        <n v="0.54188888888888886" u="1"/>
        <n v="0.78603255813953488" u="1"/>
        <n v="0.51718517221052629" u="1"/>
        <n v="0.7968031219512195" u="1"/>
        <n v="0.89734384444444348" u="1"/>
        <n v="0.95696377455335113" u="1"/>
        <n v="0.79088888888888886" u="1"/>
        <n v="0.58831264705885045" u="1"/>
        <n v="0.46006732857142857" u="1"/>
        <n v="0.94707438988532788" u="1"/>
        <n v="0.83131999999999995" u="1"/>
        <n v="0.4367632352941308" u="1"/>
        <n v="0.50380000000000003" u="1"/>
        <n v="0.56051226666666643" u="1"/>
        <n v="0.56863313888888878" u="1"/>
        <n v="0.96961666666666657" u="1"/>
        <n v="0.33710386999999997" u="1"/>
        <n v="0.41944444444444445" u="1"/>
        <n v="0.53476303888888888" u="1"/>
        <n v="0.67005368421052636" u="1"/>
        <n v="0.7984444444444444" u="1"/>
        <n v="0.13" u="1"/>
        <n v="0.89527531111111081" u="1"/>
        <n v="0.35466666666666669" u="1"/>
        <n v="0.5377777777777778" u="1"/>
        <n v="0.49750586905263167" u="1"/>
        <n v="0.1014085" u="1"/>
        <n v="0.76253642849964831" u="1"/>
        <n v="0.85872499999999996" u="1"/>
        <n v="0.90887645263157879" u="1"/>
        <n v="0.95211385365853651" u="1"/>
        <n v="0.82087093023255808" u="1"/>
        <n v="0.50740740740740742" u="1"/>
        <n v="0.82727777777777778" u="1"/>
        <n v="0.10071930000000012" u="1"/>
        <n v="0.75200330731707321" u="1"/>
        <n v="0.53845907777777779" u="1"/>
        <n v="0.62899883720930239" u="1"/>
        <n v="0.91395930232558142" u="1"/>
        <n v="0.9559097333333334" u="1"/>
        <n v="0.59709965067368409" u="1"/>
        <n v="0.66696428571428568" u="1"/>
        <n v="0.80600000000000005" u="1"/>
        <n v="0.96889634736842101" u="1"/>
        <n v="0.75952380952380949" u="1"/>
        <n v="0.72339466410526321" u="1"/>
        <n v="0.97861725263157895" u="1"/>
        <n v="0.97127916666666692" u="1"/>
        <n v="0.10098224000000001" u="1"/>
        <n v="0.66531472195121943" u="1"/>
        <n v="0.88147279069767448" u="1"/>
        <n v="0.79433333333333334" u="1"/>
        <n v="0.97117647058823531" u="1"/>
        <n v="0.6680044444444444" u="1"/>
        <n v="0.91540815319316948" u="1"/>
        <n v="0.87992395348837205" u="1"/>
        <n v="0.77234578947368415" u="1"/>
        <n v="0.88327130526315789" u="1"/>
        <n v="0.36586535294117645" u="1"/>
        <n v="0.98568421052631583" u="1"/>
        <n v="0.7173902325581395" u="1"/>
        <n v="0.68400000000000005" u="1"/>
        <n v="0.346069470588241" u="1"/>
        <n v="0.67555684210526312" u="1"/>
        <n v="0.82558483861415455" u="1"/>
        <n v="0.98031944444444441" u="1"/>
        <n v="0.85199999999999998" u="1"/>
        <n v="0.68177232558139533" u="1"/>
        <n v="0.77019888888888888" u="1"/>
        <n v="0.73905526315789472" u="1"/>
        <n v="0.90211111111111109" u="1"/>
        <n v="0.29775417647058822" u="1"/>
        <n v="0.77264711764705885" u="1"/>
        <n v="0.96595433170731704" u="1"/>
        <n v="0.59185185185185185" u="1"/>
        <n v="0.13566666666666666" u="1"/>
        <n v="0.73151712565393345" u="1"/>
        <n v="0.84033333333333338" u="1"/>
        <n v="0.30779882352941823" u="1"/>
        <n v="0.67184947368421044" u="1"/>
        <n v="0.85539363284210523" u="1"/>
        <n v="0.84994444444444439" u="1"/>
        <n v="0.90711677030895277" u="1"/>
        <n v="0.67027777777777775" u="1"/>
        <n v="0.63941494117649389" u="1"/>
        <n v="0.98761693333333334" u="1"/>
        <n v="0.61735145715789475" u="1"/>
        <n v="0.97087239999999997" u="1"/>
        <n v="0.8026848287434607" u="1"/>
        <n v="0.95943144803079661" u="1"/>
        <n v="0.26557547058823927" u="1"/>
        <n v="0.70509160975609764" u="1"/>
        <n v="0.88838888888888889" u="1"/>
        <n v="0.62220867317073181" u="1"/>
        <n v="0.75892082777777792" u="1"/>
        <n v="0.89823154736842137" u="1"/>
        <n v="0.73755555555555552" u="1"/>
        <n v="0.34605841176470586" u="1"/>
        <n v="0.64441947368421049" u="1"/>
        <n v="0.5580512666666666" u="1"/>
        <n v="0.70666666666666667" u="1"/>
        <n v="0.84751984126984126" u="1"/>
        <n v="0.90731418418714838" u="1"/>
        <n v="0.49221538461538461" u="1"/>
        <n v="0.83196838048780508" u="1"/>
        <n v="0.90216236097560965" u="1"/>
        <n v="0.69217129411771094" u="1"/>
        <n v="0.71829418604651163" u="1"/>
        <n v="0.54622222222222228" u="1"/>
        <n v="0.50753968253968251" u="1"/>
        <n v="0.59728116097560968" u="1"/>
        <n v="0.67524263157894737" u="1"/>
        <n v="0.39277777777777778" u="1"/>
        <n v="0.99098013333333324" u="1"/>
        <n v="0.8476120930232558" u="1"/>
        <n v="0.24405317647058825" u="1"/>
        <n v="0.80375830526315795" u="1"/>
        <n v="0.93479866666666667" u="1"/>
        <n v="0.9433815789473684" u="1"/>
        <n v="0.94117647058823528" u="1"/>
        <n v="0.9544168975609757" u="1"/>
        <n v="0.44832983249230762" u="1"/>
        <n v="0.42140255813953487" u="1"/>
        <n v="0.87667740555555562" u="1"/>
        <n v="0.11807652941176144" u="1"/>
        <n v="0.71716695348837212" u="1"/>
        <n v="0.73194209302325586" u="1"/>
        <n v="0.67402921666666671" u="1"/>
        <n v="0.85718625581395347" u="1"/>
        <n v="0.75266666666666671" u="1"/>
        <n v="0.84361263157894739" u="1"/>
        <n v="0.91787582667061496" u="1"/>
        <n v="0.43836446651456329" u="1"/>
        <n v="0.79855777777777781" u="1"/>
        <n v="0.82199999999999995" u="1"/>
        <n v="0.97077777777777774" u="1"/>
        <n v="0.7911111111111111" u="1"/>
        <n v="0.85562039024390213" u="1"/>
        <n v="0.4823151172307692" u="1"/>
        <n v="0.58773651162790697" u="1"/>
        <n v="0.77869004878048753" u="1"/>
        <n v="0.99" u="1"/>
        <n v="0.69036532558139541" u="1"/>
        <n v="0.93782308292682914" u="1"/>
        <n v="0.56449820555555563" u="1"/>
        <n v="0.98717647058823532" u="1"/>
        <n v="0.79160055555555553" u="1"/>
        <n v="0.79683990243902447" u="1"/>
        <n v="0.22634523529411765" u="1"/>
        <n v="0.7362057463414633" u="1"/>
        <n v="0.2263452352941179" u="1"/>
        <n v="0.10266666666666667" u="1"/>
        <n v="0.5735769230769231" u="1"/>
        <n v="0.81338558938800121" u="1"/>
        <n v="0.85893339999999985" u="1"/>
        <n v="0.7017072736842106" u="1"/>
        <n v="0.73822919751258509" u="1"/>
        <n v="0.8695406829268294" u="1"/>
        <n v="0.59133777777777774" u="1"/>
        <n v="0.42916666666666664" u="1"/>
        <n v="0.55961578947368418" u="1"/>
        <n v="0.97769386666666658" u="1"/>
        <n v="0.9589901999999999" u="1"/>
        <n v="0.74277385365853665" u="1"/>
        <n v="0.86213023255813948" u="1"/>
        <n v="0.13966666666666666" u="1"/>
        <n v="0.74611881395348834" u="1"/>
        <n v="0.6314079069767442" u="1"/>
        <n v="9.0191159999999188E-2" u="1"/>
        <n v="0.66225648837209306" u="1"/>
        <n v="9.0191159999999243E-2" u="1"/>
        <n v="0.80263838055555581" u="1"/>
        <n v="0.92766263611111022" u="1"/>
        <n v="0.67687502439024405" u="1"/>
        <n v="0.82229232558139531" u="1"/>
        <n v="0.66367023529416624" u="1"/>
        <n v="0.4662804570526316" u="1"/>
        <n v="0.67461111111111116" u="1"/>
        <n v="0.98842333333333332" u="1"/>
        <n v="0.78713465116279069" u="1"/>
        <n v="0.71830894736842099" u="1"/>
        <n v="0.59048723529415226" u="1"/>
        <n v="0.6938333333333333" u="1"/>
        <n v="0.65333333333333332" u="1"/>
        <n v="0.77253111111111106" u="1"/>
        <n v="0.82307837209302326" u="1"/>
        <n v="0.62296296296296294" u="1"/>
        <n v="0.67401692307692307" u="1"/>
        <n v="0.94967929473684221" u="1"/>
        <n v="0.79207724210526298" u="1"/>
        <n v="0.87589692222222215" u="1"/>
        <n v="0.27473205882352941" u="1"/>
        <n v="0.9207253333333334" u="1"/>
        <n v="0.77462641176478764" u="1"/>
        <n v="0.79994951219512178" u="1"/>
        <n v="0.88688184779389989" u="1"/>
        <n v="0.74877754146341491" u="1"/>
        <n v="0.90149047478037703" u="1"/>
        <n v="0.21007577999999999" u="1"/>
        <n v="0.93518146666666668" u="1"/>
        <n v="0.79144350833333388" u="1"/>
        <n v="0.87758148421052662" u="1"/>
        <n v="0.12337957099999956" u="1"/>
        <n v="0.78218936585365839" u="1"/>
        <n v="0.87230388888888888" u="1"/>
        <n v="0.66803069767441869" u="1"/>
        <n v="0.95380515250222087" u="1"/>
        <n v="0.46933333333333332" u="1"/>
        <n v="0.79112380487804879" u="1"/>
        <n v="0.12470000000000001" u="1"/>
        <n v="0.78242179444444437" u="1"/>
        <n v="0.4526236666666667" u="1"/>
        <n v="0.9194878666666666" u="1"/>
        <n v="0.7068888888888889" u="1"/>
        <n v="0.9237233600000001" u="1"/>
        <n v="0.75318976744186039" u="1"/>
        <n v="0.69525105263157894" u="1"/>
        <n v="0.70772865215789471" u="1"/>
        <n v="0.45044697674418605" u="1"/>
        <n v="0.45376984126984127" u="1"/>
        <n v="0.97312359999999998" u="1"/>
        <n v="0.5464444444444444" u="1"/>
        <n v="0.93485693333333331" u="1"/>
        <n v="0.92500000000000004" u="1"/>
        <n v="0.89489783157894731" u="1"/>
        <n v="0.45293118799999998" u="1"/>
        <n v="0.96189842105263157" u="1"/>
        <n v="0.79378947368421049" u="1"/>
        <n v="0.84383479047331922" u="1"/>
        <n v="0.94975816799921031" u="1"/>
        <n v="0.83305263157894738" u="1"/>
        <n v="0.85124896842105269" u="1"/>
        <n v="0.98110651162790696" u="1"/>
        <n v="0.71444444444444444" u="1"/>
        <n v="0.80862189999999989" u="1"/>
        <n v="0.31266666666666665" u="1"/>
        <n v="0.62568368421052634" u="1"/>
        <n v="0.68433520876517617" u="1"/>
        <n v="0.92281823157894738" u="1"/>
        <n v="0.4498160991589743" u="1"/>
        <n v="0.52143647777777791" u="1"/>
        <n v="0.7837777777777778" u="1"/>
        <n v="0.81539543764445788" u="1"/>
        <n v="0.12633333333333333" u="1"/>
        <n v="0.39666666666666667" u="1"/>
        <n v="0.79533730158730154" u="1"/>
        <n v="0.9579179707317077" u="1"/>
        <n v="0.52069532777777761" u="1"/>
        <n v="0.60700378694736823" u="1"/>
        <n v="0.5481873444444445" u="1"/>
        <n v="0.93813082105263157" u="1"/>
        <n v="0.87878787878787878" u="1"/>
        <n v="0.67677052631578949" u="1"/>
        <n v="0.85646241052631578" u="1"/>
        <n v="0.91065396666666631" u="1"/>
        <n v="0.72199999999999998" u="1"/>
        <n v="0.39909935449514566" u="1"/>
        <n v="0.77022253488372094" u="1"/>
        <n v="0.93578317073170736" u="1"/>
        <n v="0.9491647692307692" u="1"/>
        <n v="0.75125851347349715" u="1"/>
        <n v="0.47206153846153848" u="1"/>
        <n v="0.81239418604651159" u="1"/>
        <n v="0.91224953114203933" u="1"/>
        <n v="0.51920769230769226" u="1"/>
        <n v="0.78172222222222221" u="1"/>
        <n v="0.50500603333333338" u="1"/>
        <n v="0.51144444444444448" u="1"/>
        <n v="0.74963970588235296" u="1"/>
        <n v="0.58664403333333337" u="1"/>
        <n v="0.95348693658536565" u="1"/>
        <n v="0.77847453658536581" u="1"/>
        <n v="0.94048026666666673" u="1"/>
        <n v="0.61166666666666669" u="1"/>
        <n v="0.73368421052631583" u="1"/>
        <n v="0.53066666666666662" u="1"/>
        <n v="0.96031981048267689" u="1"/>
        <n v="0.96466999999999992" u="1"/>
        <n v="0.76417584444444464" u="1"/>
        <n v="0.77294736842105261" u="1"/>
        <n v="0.88950624999999961" u="1"/>
        <n v="0.81818181818181823" u="1"/>
        <n v="0.92144630769230762" u="1"/>
        <n v="0.87870588235294123" u="1"/>
        <n v="0.71698546341463398" u="1"/>
        <n v="0.6" u="1"/>
        <n v="0.63819997674418605" u="1"/>
        <n v="0.65987060694736843" u="1"/>
        <n v="0.9980258612180436" u="1"/>
        <n v="0.78972473684210531" u="1"/>
        <n v="0.56804334652631583" u="1"/>
        <n v="0.85588786891718482" u="1"/>
        <n v="0.77703417222222204" u="1"/>
        <n v="0.7283585036028033" u="1"/>
        <n v="0.86835317460317463" u="1"/>
        <n v="0.51087149852631575" u="1"/>
        <n v="0.90929280000000001" u="1"/>
        <n v="0.91961080000000006" u="1"/>
        <n v="0.2501289411764735" u="1"/>
        <n v="0.61658741666666683" u="1"/>
        <n v="0.65363731111111112" u="1"/>
        <n v="0.42561119733009706" u="1"/>
        <n v="0.30378253199999888" u="1"/>
        <n v="0.97712806666666674" u="1"/>
        <n v="0.99431075789473666" u="1"/>
        <n v="0.90666666666666662" u="1"/>
        <n v="0.94592183414634112" u="1"/>
        <n v="0.97512585134734975" u="1"/>
        <n v="0.70846509302325578" u="1"/>
        <n v="0.9844705882352941" u="1"/>
        <n v="0.8106269268292684" u="1"/>
        <n v="0.5283461538461538" u="1"/>
        <n v="0.84759648603296811" u="1"/>
        <n v="0.88298511627906973" u="1"/>
        <n v="0.65222105263157903" u="1"/>
        <n v="0.89028147368421062" u="1"/>
        <n v="0.95941626666666668" u="1"/>
        <n v="0.38357076923076922" u="1"/>
        <n v="0.84464558139534884" u="1"/>
        <n v="0.90377416111111075" u="1"/>
        <n v="0.36010487199999835" u="1"/>
        <n v="0.87337057728119183" u="1"/>
        <n v="0.61842105263157898" u="1"/>
        <n v="0.69110893157894748" u="1"/>
        <n v="0.74316454446747604" u="1"/>
        <n v="0.86411111111111116" u="1"/>
        <n v="0.4219244096116504" u="1"/>
        <n v="0.39019478776699029" u="1"/>
        <n v="0.91876418912249536" u="1"/>
        <n v="0.84627860465116278" u="1"/>
        <n v="0.92223529411764704" u="1"/>
        <n v="0.83004998529844165" u="1"/>
        <n v="0.99987507317073165" u="1"/>
        <n v="0.99304333333333328" u="1"/>
        <n v="0.74680047804878058" u="1"/>
        <n v="0.61049052631578948" u="1"/>
        <n v="0.94039710243902452" u="1"/>
        <n v="0.10166666666666667" u="1"/>
        <n v="0.81748584390243906" u="1"/>
        <n v="0.55981588888888889" u="1"/>
        <n v="0.84354950152995756" u="1"/>
        <n v="0.92177777777777781" u="1"/>
        <n v="0.85598057560975616" u="1"/>
        <n v="0.52557787178947379" u="1"/>
        <n v="0.93853613333333341" u="1"/>
        <n v="0.24507520588235987" u="1"/>
        <n v="0.98772105263157883" u="1"/>
        <n v="0.88809879999999997" u="1"/>
        <n v="0.73618516097560982" u="1"/>
        <n v="0.90579186046511628" u="1"/>
        <n v="0.95596160000000008" u="1"/>
        <n v="0.92932583160596194" u="1"/>
        <n v="0.96823529411764708" u="1"/>
        <n v="0.66866666666666663" u="1"/>
        <n v="0.78235315789473681" u="1"/>
        <n v="0.30951188235294119" u="1"/>
        <n v="0.85335833333333333" u="1"/>
        <n v="0.71877777777777774" u="1"/>
        <n v="0.65947368421052632" u="1"/>
        <n v="0.57492307692307687" u="1"/>
        <n v="0.98164050932780578" u="1"/>
        <n v="0.50822222222222224" u="1"/>
        <n v="0.86388910555555576" u="1"/>
        <n v="0.69750000000000001" u="1"/>
        <n v="0.38089224665048549" u="1"/>
        <n v="0.76060028292682924" u="1"/>
        <n v="0.79772222222222222" u="1"/>
        <n v="0.22566647099999987" u="1"/>
        <n v="0.63313473684210519" u="1"/>
        <n v="0.57703703703703701" u="1"/>
        <n v="0.97323063414634137" u="1"/>
        <n v="0.42388888888888887" u="1"/>
        <n v="0.76333894176842121" u="1"/>
        <n v="0.87296416938110755" u="1"/>
        <n v="0.73082617708024877" u="1"/>
        <n v="0.76270860465116275" u="1"/>
        <n v="0.95953441666666694" u="1"/>
        <n v="0.94086523076923079" u="1"/>
        <n v="0.96572222222222226" u="1"/>
        <n v="0.70884234146341463" u="1"/>
        <n v="0.90819522666666663" u="1"/>
        <n v="0.66595578947368417" u="1"/>
        <n v="0.74555555555555553" u="1"/>
        <n v="0.692465756097561" u="1"/>
        <n v="0.9800238055555559" u="1"/>
        <n v="0.79566666666666663" u="1"/>
        <n v="0.95768984390243905" u="1"/>
        <n v="0.86303069767441865" u="1"/>
        <n v="0.51148962222222216" u="1"/>
        <n v="0.76477777777777778" u="1"/>
        <n v="0.7242777777777778" u="1"/>
        <n v="0.9584966829268291" u="1"/>
        <n v="0.66210263157894744" u="1"/>
        <n v="0.99175127777777783" u="1"/>
        <n v="0.19959376470588233" u="1"/>
        <n v="0.26933423529411765" u="1"/>
        <n v="0.97087395595789461" u="1"/>
        <n v="0.82450000000000001" u="1"/>
        <n v="0.78400000000000003" u="1"/>
        <n v="0.99220215181127236" u="1"/>
        <n v="0.85430855789161975" u="1"/>
        <n v="0.89223529411764702" u="1"/>
        <n v="0.95801833333333342" u="1"/>
        <n v="0.92089513333333328" u="1"/>
        <n v="0.83137373128328806" u="1"/>
        <n v="0.87000897777777753" u="1"/>
        <n v="0.27460135294117644" u="1"/>
        <n v="0.56458947368421053" u="1"/>
        <n v="0.96733649444443692" u="1"/>
        <n v="0.4332923076923077" u="1"/>
        <n v="0.84166666666666667" u="1"/>
        <n v="0.53088888888888885" u="1"/>
        <n v="0.91098386666666664" u="1"/>
        <n v="0.96835173333333335" u="1"/>
        <n v="0.56392138863157892" u="1"/>
        <n v="0.7878641463414634" u="1"/>
        <n v="0.79794689566676535" u="1"/>
        <n v="0.95469351495410126" u="1"/>
        <n v="0.66923372093023259" u="1"/>
        <n v="0.4125250005048543" u="1"/>
        <n v="0.61224359999999989" u="1"/>
        <n v="0.61944444444444446" u="1"/>
        <n v="0.78363023255813957" u="1"/>
        <n v="0.78998891707317087" u="1"/>
        <n v="0.87629894444444434" u="1"/>
        <n v="0.38712307692307696" u="1"/>
        <n v="0.66955555555555557" u="1"/>
        <n v="0.80053134189473707" u="1"/>
        <n v="0.40376325613592229" u="1"/>
        <n v="0.81833333333333336" u="1"/>
        <n v="0.89564615009263182" u="1"/>
        <n v="0.36910221999999848" u="1"/>
        <n v="0.95605232777777771" u="1"/>
        <n v="0.79705555555555552" u="1"/>
        <n v="0.91718487809693017" u="1"/>
        <n v="0.10366666666666667" u="1"/>
        <n v="0.81667609756097559" u="1"/>
        <n v="0.81439051351622949" u="1"/>
        <n v="0.71025263157894736" u="1"/>
        <n v="0.98224964210526278" u="1"/>
        <n v="0.64402894736842098" u="1"/>
        <n v="0.86638888888888888" u="1"/>
        <n v="0.34333333333333332" u="1"/>
        <n v="0.78490395348837205" u="1"/>
        <n v="0.876" u="1"/>
        <n v="0.82736156351791534" u="1"/>
        <n v="0.94183319999999993" u="1"/>
        <n v="0.71443720930232557" u="1"/>
        <n v="0.49376917647060581" u="1"/>
        <n v="0.66748325581395351" u="1"/>
        <n v="0.67085627906976741" u="1"/>
        <n v="0.53359254999999994" u="1"/>
        <n v="0.7155555555555555" u="1"/>
        <n v="0.34570529411764706" u="1"/>
        <n v="0.94837697560975587" u="1"/>
        <n v="0.72368631578947373" u="1"/>
        <n v="0.8450455813953488" u="1"/>
        <n v="0.30918134883720932" u="1"/>
        <n v="0.91503231219512204" u="1"/>
        <n v="0.13834889000000103" u="1"/>
        <n v="0.91309462790697671" u="1"/>
        <n v="0.5537221052631579" u="1"/>
        <n v="0.49666666666666665" u="1"/>
        <n v="0.62847222222222221" u="1"/>
        <n v="0.9528888888888889" u="1"/>
        <n v="0.90975481666666658" u="1"/>
        <n v="0.28985151699999839" u="1"/>
        <n v="0.87188888888888894" u="1"/>
        <n v="0.4722711277777778" u="1"/>
        <n v="0.92200000000000004" u="1"/>
        <n v="0.20798652941176468" u="1"/>
        <n v="0.79176241111111101" u="1"/>
        <n v="0.89111111111111108" u="1"/>
        <n v="0.89562488372093019" u="1"/>
        <n v="0.45462535238095231" u="1"/>
        <n v="0.46690955178947363" u="1"/>
        <n v="0.71339285714285716" u="1"/>
        <n v="0.90774901052631585" u="1"/>
        <n v="0.84279833333333343" u="1"/>
        <n v="0.39975606019417481" u="1"/>
        <n v="0.87138485835554236" u="1"/>
        <n v="0.98264666666666667" u="1"/>
        <n v="0.76526068292682925" u="1"/>
        <n v="0.50088888888888894" u="1"/>
        <n v="0.96413800975609742" u="1"/>
        <n v="0.89023788372322576" u="1"/>
        <n v="0.18306381199999947" u="1"/>
        <n v="0.85408674418604646" u="1"/>
        <n v="0.11555529000000027" u="1"/>
        <n v="0.80121255813953485" u="1"/>
        <n v="0.47486203005128202" u="1"/>
        <n v="0.52626153846153845" u="1"/>
        <n v="0.93647899444444471" u="1"/>
        <n v="0.94165733333333335" u="1"/>
        <n v="0.3709764705882353" u="1"/>
        <n v="0.87904297222222239" u="1"/>
        <n v="0.7452170731707316" u="1"/>
        <n v="0.9425525614450696" u="1"/>
        <n v="5.9507529411764168E-2" u="1"/>
        <n v="0.63851851851851849" u="1"/>
        <n v="0.80061218400000012" u="1"/>
        <n v="0.95179369767441857" u="1"/>
        <n v="0.81502319613068797" u="1"/>
        <n v="0.88944489444444441" u="1"/>
        <n v="0.46088194761904749" u="1"/>
        <n v="0.6081481481481481" u="1"/>
        <n v="0.95814306666666671" u="1"/>
        <n v="0.9547731512195119" u="1"/>
        <n v="0.70733333333333337" u="1"/>
        <n v="0.93711111111111112" u="1"/>
        <n v="0.55364615384615379" u="1"/>
        <n v="0.57056819116842128" u="1"/>
        <n v="0.58284210526315794" u="1"/>
        <n v="0.77666666666666662" u="1"/>
        <n v="0.91738694444444446" u="1"/>
        <n v="0.87831837209302321" u="1"/>
        <n v="0.95007563902439041" u="1"/>
        <n v="0.69566666666666666" u="1"/>
        <n v="0.98420601666666663" u="1"/>
        <n v="0.88619089922021521" u="1"/>
        <n v="0.64551911263157891" u="1"/>
        <n v="0.2973427959999998" u="1"/>
        <n v="0.21968258000000013" u="1"/>
        <n v="0.89741936" u="1"/>
        <n v="9.8043640000000154E-2" u="1"/>
        <n v="0.19036857100000121" u="1"/>
        <n v="0.82168441860465113" u="1"/>
        <n v="0.94466666666666665" u="1"/>
        <n v="0.64872983333333345" u="1"/>
        <n v="0.37989999999999996" u="1"/>
        <n v="0.84592438333333309" u="1"/>
        <n v="0.56660055555555577" u="1"/>
        <n v="0.65628206027368441" u="1"/>
        <n v="0.56683340000000004" u="1"/>
        <n v="0.63523895041404765" u="1"/>
        <n v="0.55548266526315815" u="1"/>
        <n v="0.92434953888888838" u="1"/>
        <n v="0.7533333333333333" u="1"/>
        <n v="0.84544020000000009" u="1"/>
        <n v="0.94802232558139532" u="1"/>
        <n v="0.84443786398183796" u="1"/>
        <n v="0.71646825396825398" u="1"/>
        <n v="0.26106916599999819" u="1"/>
        <n v="0.89283643157894743" u="1"/>
        <n v="0.55707692307692303" u="1"/>
        <n v="0.50788235294117645" u="1"/>
        <n v="0.59288888888888891" u="1"/>
        <n v="0.80745653703145415" u="1"/>
        <n v="0.68752777777777774" u="1"/>
        <n v="0.7448933333333333" u="1"/>
        <n v="0.82266666666666666" u="1"/>
        <n v="0.75594473684210528" u="1"/>
        <n v="0.88214391471720466" u="1"/>
        <n v="0.80672351269234543" u="1"/>
        <n v="0.28390161799999863" u="1"/>
        <n v="0.9334390933333333" u="1"/>
        <n v="0.41502476470589117" u="1"/>
        <n v="0.72366447804878042" u="1"/>
        <n v="0.20049153200000028" u="1"/>
        <n v="0.4447267055555556" u="1"/>
        <n v="0.81100000000000005" u="1"/>
        <n v="0.80594632345605111" u="1"/>
        <n v="0.6313333333333333" u="1"/>
        <n v="0.76609597222222225" u="1"/>
        <n v="0.72662697674418608" u="1"/>
        <n v="0.93277282666666661" u="1"/>
        <n v="0.68899368421052631" u="1"/>
        <n v="0.42225533999999881" u="1"/>
        <n v="0.65879526315789472" u="1"/>
        <n v="0.52720769230769227" u="1"/>
        <n v="0.883043305263158" u="1"/>
        <n v="0.96792024479320893" u="1"/>
        <n v="0.6550815789473684" u="1"/>
        <n v="0.98252887177968606" u="1"/>
        <n v="0.57537688333333326" u="1"/>
        <n v="0.92219950555555541" u="1"/>
        <n v="0.74907712261797865" u="1"/>
        <n v="0.96903586666666675" u="1"/>
        <n v="0.53006153846153847" u="1"/>
        <n v="0.35880000000000001" u="1"/>
        <n v="0.85905555555555557" u="1"/>
        <n v="0.96118173333333334" u="1"/>
        <n v="0.85998746111111135" u="1"/>
        <n v="0.95398052222222218" u="1"/>
        <n v="0.9647557789473683" u="1"/>
        <n v="0.60756981894736839" u="1"/>
        <n v="0.97567764210526309" u="1"/>
        <n v="0.57321428571428568" u="1"/>
        <n v="0.38901608106796115" u="1"/>
        <n v="0.20342447058823529" u="1"/>
        <n v="0.76942059026749576" u="1"/>
        <n v="0.67733333333333334" u="1"/>
        <n v="0.2014241799999997" u="1"/>
        <n v="0.49676983888888893" u="1"/>
        <n v="0.82611111111111113" u="1"/>
        <n v="0.34370370370370368" u="1"/>
        <n v="0.76545073333333313" u="1"/>
        <n v="0.83572222222222226" u="1"/>
        <n v="0.9698480195121949" u="1"/>
        <n v="0.90791558139534878" u="1"/>
        <n v="0.76010210526315791" u="1"/>
        <n v="0.93305263157894736" u="1"/>
        <n v="0.13400000000000001" u="1"/>
        <n v="0.34722222222222221" u="1"/>
        <n v="0.59428835294117643" u="1"/>
        <n v="0.56998635294119826" u="1"/>
        <n v="0.65386904761904763" u="1"/>
        <n v="0.33715759499999864" u="1"/>
        <n v="0.93819024444443777" u="1"/>
        <n v="0.19300231199999945" u="1"/>
        <n v="0.67644888888888888" u="1"/>
        <n v="0.57644689999999998" u="1"/>
        <n v="0.72333333333333338" u="1"/>
        <n v="0.48133333333333334" u="1"/>
        <n v="0.49644584020512822" u="1"/>
        <n v="0.6946054211578947" u="1"/>
        <n v="0.89129980555555566" u="1"/>
        <n v="0.82377927906976744" u="1"/>
        <n v="0.75032069767441856" u="1"/>
        <n v="0.67762" u="1"/>
        <n v="0.89133333333333331" u="1"/>
        <n v="0.9928621333333334" u="1"/>
        <n v="0.71166666666666667" u="1"/>
        <n v="0.14138970588235295" u="1"/>
        <n v="0.76177777777777778" u="1"/>
        <n v="0.64432631578947375" u="1"/>
        <n v="0.99328792814134836" u="1"/>
        <n v="0.69015891817194752" u="1"/>
        <n v="0.73088888888888892" u="1"/>
        <n v="0.96066666666666667" u="1"/>
        <n v="0.61031230769230771" u="1"/>
        <n v="0.23745329411764704" u="1"/>
        <n v="0.56066923076923081" u="1"/>
        <n v="0.7" u="1"/>
        <n v="0.92977777777777781" u="1"/>
        <n v="0.75011111111111106" u="1"/>
        <n v="0.98477599999999998" u="1"/>
        <n v="0.39036153846153843" u="1"/>
        <n v="0.85636196666666653" u="1"/>
        <n v="0.22923076923076924" u="1"/>
        <n v="0.91572648780487786" u="1"/>
        <n v="0.96067232558139526" u="1"/>
        <n v="0.70488209302325577" u="1"/>
        <n v="0.76933333333333331" u="1"/>
        <n v="0.26370180999999815" u="1"/>
        <n v="0.89852790697674423" u="1"/>
        <n v="0.89447604651162782" u="1"/>
        <n v="0.93692626591649397" u="1"/>
        <n v="0.10099823999999982" u="1"/>
        <n v="0.73046069767441868" u="1"/>
        <n v="0.29776506999999952" u="1"/>
        <n v="0.87892562777777539" u="1"/>
        <n v="0.76132833333333327" u="1"/>
        <n v="0.77692578947368418" u="1"/>
        <n v="0.54162365088205122" u="1"/>
        <n v="0.91647058823529415" u="1"/>
        <n v="0.59229736842105263" u="1"/>
        <n v="0.85167906666666648" u="1"/>
        <n v="0.76622787334736864" u="1"/>
        <n v="0.72677777777777774" u="1"/>
        <n v="0.67472881666666673" u="1"/>
        <n v="0.9309765333333333" u="1"/>
        <n v="0.73638888888888887" u="1"/>
        <n v="0.59722222222222221" u="1"/>
        <n v="0.76709417473684205" u="1"/>
        <n v="0.92720714146341443" u="1"/>
        <n v="0.78392976744186049" u="1"/>
        <n v="0.71511111111111114" u="1"/>
        <n v="0.57706111111111102" u="1"/>
        <n v="0.76185369767441857" u="1"/>
        <n v="0.87672604651162789" u="1"/>
        <n v="0.79048465116279065" u="1"/>
        <n v="0.50455555555555553" u="1"/>
        <n v="0.92837683333333332" u="1"/>
        <n v="0.59908015000000003" u="1"/>
        <n v="0.56066461538461543" u="1"/>
        <n v="0.61406210526315796" u="1"/>
        <n v="0.5685119666666667" u="1"/>
        <n v="0.28149091599999987" u="1"/>
        <n v="0.83455555555555561" u="1"/>
        <n v="0.93371439534883716" u="1"/>
        <n v="0.39773023950485431" u="1"/>
        <n v="0.77277777777777779" u="1"/>
        <n v="0.86224813953488366" u="1"/>
        <n v="0.50880239917948711" u="1"/>
        <n v="0.63037861538461537" u="1"/>
        <n v="0.76957901463414635" u="1"/>
        <n v="0.9149689555555558" u="1"/>
        <n v="0.99480158048780509" u="1"/>
        <n v="0.73591269841269846" u="1"/>
        <n v="0.87227322080742276" u="1"/>
        <n v="0.91357348837209307" u="1"/>
        <n v="0.53368684210526307" u="1"/>
        <n v="0.61051587301587307" u="1"/>
        <n v="0.24875852999999992" u="1"/>
        <n v="0.49873398994871809" u="1"/>
        <n v="0.17259005882352987" u="1"/>
        <n v="0.74898825387424739" u="1"/>
        <n v="0.79163631578947369" u="1"/>
        <n v="0.61905263157894741" u="1"/>
        <n v="0.88485374722222276" u="1"/>
        <n v="0.85895562105263168" u="1"/>
        <n v="0.87094444444444441" u="1"/>
        <n v="0.9192583720930233" u="1"/>
        <n v="0.75573503333333336" u="1"/>
        <n v="0.86022789473684214" u="1"/>
        <n v="0.94344092389695" u="1"/>
        <n v="0.95435294117647063" u="1"/>
        <n v="0.92918315789473704" u="1"/>
        <n v="0.3633764705882353" u="1"/>
        <n v="0.79916651162790697" u="1"/>
        <n v="0.91046104210526313" u="1"/>
        <n v="0.34486576470588326" u="1"/>
        <n v="0.91948896666666646" u="1"/>
        <n v="0.45650769230769234" u="1"/>
        <n v="0.87008632222222215" u="1"/>
        <n v="0.5208732667368422" u="1"/>
        <n v="0.34486576470588393" u="1"/>
        <n v="0.59235000000000004" u="1"/>
        <n v="0.5199468611111111" u="1"/>
        <n v="0.88181158611111066" u="1"/>
        <n v="0.99745279069767434" u="1"/>
        <n v="0.45330227682051283" u="1"/>
        <n v="0.84176587301587302" u="1"/>
        <n v="0.75011439534883717" u="1"/>
        <n v="0.40133873361165051" u="1"/>
        <n v="0.79199102439024405" u="1"/>
        <n v="0.85429108421052646" u="1"/>
        <n v="0.43580734899999851" u="1"/>
        <n v="0.64811538461538465" u="1"/>
        <n v="0.76357892682926831" u="1"/>
        <n v="0.90168788865857274" u="1"/>
        <n v="0.92583326666666665" u="1"/>
        <n v="0.42559523809523808" u="1"/>
        <n v="0.92054091402625604" u="1"/>
        <n v="0.77840292172539727" u="1"/>
        <n v="0.94341176470588239" u="1"/>
        <n v="0.64666666666666661" u="1"/>
        <n v="0.94354046511627909" u="1"/>
        <n v="0.74357894736842101" u="1"/>
        <n v="0.65238095238095239" u="1"/>
        <n v="0.56789999999999996" u="1"/>
        <n v="0.69807977083485062" u="1"/>
        <n v="0.61629629629629634" u="1"/>
        <n v="0.81186457407955781" u="1"/>
        <n v="0.4889288298947369" u="1"/>
        <n v="0.97285559174809988" u="1"/>
        <n v="0.71599999999999997" u="1"/>
        <n v="0.86625419444444451" u="1"/>
        <n v="0.42610000000000003" u="1"/>
        <n v="0.93537706666666676" u="1"/>
        <n v="0.67926587301587305" u="1"/>
        <n v="0.7256111111111111" u="1"/>
        <n v="0.58736720930232555" u="1"/>
        <n v="0.85708544390243901" u="1"/>
        <n v="0.11855754500000031" u="1"/>
        <n v="0.87875860465116273" u="1"/>
        <n v="0.80548833021052635" u="1"/>
        <n v="0.57722551111111087" u="1"/>
        <n v="0.66556842105263159" u="1"/>
        <n v="0.31908137209302323" u="1"/>
        <n v="0.62333333333333329" u="1"/>
        <n v="0.80876370588235302" u="1"/>
        <n v="0.92591846018947366" u="1"/>
        <n v="0.92466562666666663" u="1"/>
        <n v="0.82199947368421056" u="1"/>
        <n v="0.4159724117647059" u="1"/>
        <n v="0.91649392952324549" u="1"/>
        <n v="0.20805188235294117" u="1"/>
        <n v="0.43185185185185188" u="1"/>
        <n v="0.83314583984210544" u="1"/>
        <n v="0.88469067441860461" u="1"/>
        <n v="0.65352684210526313" u="1"/>
        <n v="0.53126578947368419" u="1"/>
        <n v="0.25595645699999975" u="1"/>
        <n v="0.54272303888888895" u="1"/>
        <n v="0.97255555555555551" u="1"/>
        <n v="0.84311944444444442" u="1"/>
        <n v="0.94995558187740603" u="1"/>
        <n v="0.67138888888888892" u="1"/>
        <n v="0.96880860724508933" u="1"/>
        <n v="0.53222222222222226" u="1"/>
        <n v="0.74593555555555557" u="1"/>
        <n v="0.30284358999999866" u="1"/>
        <n v="0.30284358999999872" u="1"/>
        <n v="0.38857239233009716" u="1"/>
        <n v="0.93724011978947408" u="1"/>
        <n v="0.77622097560975623" u="1"/>
        <n v="0.85919069767441858" u="1"/>
        <n v="0.57165999999999995" u="1"/>
        <n v="0.85708069767441863" u="1"/>
        <n v="0.95741639999999995" u="1"/>
        <n v="0.90597937222222213" u="1"/>
        <n v="0.9841437750000005" u="1"/>
        <n v="0.66933333333333334" u="1"/>
        <n v="0.9917802933333334" u="1"/>
        <n v="0.28000314999999981" u="1"/>
        <n v="0.28000314999999987" u="1"/>
        <n v="0.89359391965255153" u="1"/>
        <n v="0.98550222222222228" u="1"/>
        <n v="0.50888888888888884" u="1"/>
        <n v="0.92705557200671207" u="1"/>
        <n v="0.73866666666666669" u="1"/>
        <n v="0.64920682430410059" u="1"/>
        <n v="0.85786444444444443" u="1"/>
        <n v="0.59089857115789479" u="1"/>
        <n v="0.94590859737439537" u="1"/>
        <n v="0.75405395348837201" u="1"/>
        <n v="0.80574246315789488" u="1"/>
        <n v="0.42282168488349509" u="1"/>
        <n v="0.60442307692307695" u="1"/>
        <n v="0.8037706050735367" u="1"/>
        <n v="0.17055374000000001" u="1"/>
        <n v="0.66263157894736846" u="1"/>
        <n v="0.81837923206001384" u="1"/>
        <n v="0.92328944444444438" u="1"/>
        <n v="0.85500441860465115" u="1"/>
        <n v="0.95051666666666668" u="1"/>
        <n v="0.68065476190476193" u="1"/>
        <n v="0.25293176999999978" u="1"/>
        <n v="0.32931747058823529" u="1"/>
        <n v="0.25293176999999994" u="1"/>
        <n v="0.55557869388421055" u="1"/>
        <n v="0.40235294117647058" u="1"/>
        <n v="0.44472001904761904" u="1"/>
        <n v="0.64127368421052633" u="1"/>
        <n v="0.73004230232558143" u="1"/>
        <n v="0.71533333333333338" u="1"/>
        <n v="0.88396055555555564" u="1"/>
        <n v="0.69907604651162791" u="1"/>
        <n v="0.54499133333333327" u="1"/>
        <n v="0.81555555555555559" u="1"/>
        <n v="0.85634079894736848" u="1"/>
        <n v="0.53252943888888882" u="1"/>
        <n v="0.92300858750370152" u="1"/>
        <n v="0.24109981200000064" u="1"/>
        <n v="0.44129999999999997" u="1"/>
        <n v="0.52400000000000002" u="1"/>
        <n v="0.86945900317894731" u="1"/>
        <n v="0.16185605300000097" u="1"/>
        <n v="0.85682352941176465" u="1"/>
        <n v="0.71465629053177693" u="1"/>
        <n v="0.9117324" u="1"/>
        <n v="0.65129053658536573" u="1"/>
        <n v="0.7944930731707317" u="1"/>
        <n v="0.81433224755700329" u="1"/>
        <n v="0.85399999999999998" u="1"/>
        <n v="0.86361111111111111" u="1"/>
        <n v="0.77387315789473687" u="1"/>
        <n v="0.59333333333333338" u="1"/>
        <n v="0.5606878074871795" u="1"/>
        <n v="0.99417629059322865" u="1"/>
        <n v="0.95730280555555591" u="1"/>
        <n v="0.78948809756097549" u="1"/>
        <n v="0.40064672897087378" u="1"/>
        <n v="0.10801755200000039" u="1"/>
        <n v="0.76133333333333331" u="1"/>
        <n v="0.11899999999999999" u="1"/>
        <n v="0.82105555555555554" u="1"/>
        <n v="0.93591709268292689" u="1"/>
        <n v="0.81353372093023257" u="1"/>
        <n v="0.32066666666666666" u="1"/>
        <n v="0.72552651694736847" u="1"/>
        <n v="0.84429367777777775" u="1"/>
        <n v="0.91896160300069096" u="1"/>
        <n v="0.79795495555555562" u="1"/>
        <n v="0.71286028292682935" u="1"/>
        <n v="0.77682361069983219" u="1"/>
        <n v="0.88077777777777777" u="1"/>
        <n v="0.9335702299871681" u="1"/>
        <n v="0.11833310000000048" u="1"/>
        <n v="0.56999999999999995" u="1"/>
        <n v="0.68558461538461546" u="1"/>
        <n v="0.38210603044660202" u="1"/>
        <n v="0.64054572378802221" u="1"/>
        <n v="0.77886368421052632" u="1"/>
        <n v="0.19625800999999959" u="1"/>
        <n v="0.35533333333333333" u="1"/>
        <n v="0.80938888888888894" u="1"/>
        <n v="0.30114358999999874" u="1"/>
        <n v="0.96196585555555492" u="1"/>
        <n v="0.77460317460317463" u="1"/>
        <n v="0.94436466666666663" u="1"/>
        <n v="0.68373015873015874" u="1"/>
        <n v="0.92654953488372094" u="1"/>
        <n v="0.14766666666666667" u="1"/>
        <n v="0.68944444444444442" u="1"/>
        <n v="0.61049833894736827" u="1"/>
        <n v="0.58852368421052637" u="1"/>
        <n v="0.43933333333333335" u="1"/>
        <n v="0.86259994077583657" u="1"/>
        <n v="0.88833333333333331" u="1"/>
        <n v="0.89501358947368426" u="1"/>
        <n v="0.74284473684210528" u="1"/>
        <n v="0.73507057546145493" u="1"/>
        <n v="0.99780232558139537" u="1"/>
        <n v="0.26039627999999965" u="1"/>
        <n v="0.91650628333333328" u="1"/>
        <n v="0.87666666666666671" u="1"/>
        <n v="0.91491461849768041" u="1"/>
        <n v="0.89826521611290799" u="1"/>
        <n v="0.3602036049611651" u="1"/>
        <n v="0.79308651578947376" u="1"/>
        <n v="0.89588888888888885" u="1"/>
        <n v="0.46408324652631583" u="1"/>
        <n v="0.7162222222222222" u="1"/>
        <n v="0.6272625581395348" u="1"/>
        <n v="0.24094066199999817" u="1"/>
        <n v="9.1546352941174955E-2" u="1"/>
        <n v="0.42344615384615386" u="1"/>
        <n v="0.92417649999999973" u="1"/>
        <n v="0.7048672222222222" u="1"/>
        <n v="0.59388105263157898" u="1"/>
        <n v="0.73378947368421055" u="1"/>
        <n v="0.78085951219512206" u="1"/>
        <n v="0.86886069767441865" u="1"/>
        <n v="0.83884348837209299" u="1"/>
        <n v="0.79918403902439017" u="1"/>
        <n v="0.23459420588235763" u="1"/>
        <n v="0.58715442926829275" u="1"/>
        <n v="0.90386719999999987" u="1"/>
        <n v="0.63547823529411773" u="1"/>
        <n v="0.93848444444444445" u="1"/>
        <n v="0.95231324210526314" u="1"/>
        <n v="0.89201460862698645" u="1"/>
        <n v="0.9384179707317073" u="1"/>
        <n v="0.71268631578947372" u="1"/>
        <n v="0.24057744117647573" u="1"/>
        <n v="0.90662323561346359" u="1"/>
        <n v="0.72884210526315785" u="1"/>
        <n v="0.14876250000000105" u="1"/>
        <n v="0.98169266666666666" u="1"/>
        <n v="0.92142183414634127" u="1"/>
        <n v="0.78333826868028822" u="1"/>
        <n v="0.88224864444444429" u="1"/>
        <n v="0.25644882999999979" u="1"/>
        <n v="0.63982839469220787" u="1"/>
        <n v="0.76222222222222225" u="1"/>
        <n v="0.92871033333333253" u="1"/>
        <n v="0.60074074074074069" u="1"/>
        <n v="0.96160296000000001" u="1"/>
        <n v="0.78020552728723935" u="1"/>
        <n v="0.83565294640213206" u="1"/>
        <n v="0.70044444444444443" u="1"/>
        <n v="0.76251502777777791" u="1"/>
        <n v="0.67111589268292682" u="1"/>
        <n v="0.93735837209302331" u="1"/>
        <n v="0.89933333333333332" u="1"/>
        <n v="0.78266368421052634" u="1"/>
        <n v="8.2666666666666666E-2" u="1"/>
        <n v="0.63231421052631576" u="1"/>
        <n v="0.39440588235294116" u="1"/>
        <n v="0.6791666666666667" u="1"/>
        <n v="0.72430209302325577" u="1"/>
        <n v="0.9287793333333334" u="1"/>
        <n v="0.9365399767441861" u="1"/>
        <n v="0.83746421052631581" u="1"/>
        <n v="0.99227200000000004" u="1"/>
        <n v="0.17435880000000126" u="1"/>
        <n v="0.78586860465116282" u="1"/>
        <n v="9.1333333333333336E-2" u="1"/>
        <n v="0.98670588235294121" u="1"/>
        <n v="0.74850000000000005" u="1"/>
        <n v="0.88572112610526332" u="1"/>
        <n v="0.56389292118521051" u="1"/>
        <n v="0.98898042666666675" u="1"/>
        <n v="0.7478716279069767" u="1"/>
        <n v="0.86207466666666677" u="1"/>
        <n v="0.57431578947368422" u="1"/>
        <n v="0.59121370000000029" u="1"/>
        <n v="0.7119616279069767" u="1"/>
        <n v="0.79311421052631581" u="1"/>
        <n v="0.613578947368421" u="1"/>
        <n v="0.77721315789473677" u="1"/>
        <n v="0.18626935294117572" u="1"/>
        <n v="0.92729411764705882" u="1"/>
        <n v="0.84668185365853676" u="1"/>
        <n v="0.45862707810526299" u="1"/>
        <n v="0.62433370588238712" u="1"/>
        <n v="0.94533333333333336" u="1"/>
        <n v="0.88345487039999981" u="1"/>
        <n v="0.19305828200000022" u="1"/>
        <n v="0.25442788799999977" u="1"/>
        <n v="0.64840866008181186" u="1"/>
        <n v="0.9231327906976744" u="1"/>
        <n v="0.34148887000000011" u="1"/>
        <n v="0.74215541176478494" u="1"/>
        <n v="0.83499999999999996" u="1"/>
        <n v="0.65481481481481485" u="1"/>
        <n v="0.48560000000000003" u="1"/>
        <n v="0.81711677071578948" u="1"/>
        <n v="0.87792545365853658" u="1"/>
        <n v="0.98006093333333333" u="1"/>
        <n v="0.73729088235301776" u="1"/>
        <n v="0.77322222222222226" u="1"/>
        <n v="0.58105263157894738" u="1"/>
        <n v="0.55060624444444473" u="1"/>
        <n v="0.76019689756097553" u="1"/>
        <n v="0.82755897739611095" u="1"/>
        <n v="0.72712760650503838" u="1"/>
        <n v="0.8850770634146341" u="1"/>
        <n v="0.7924444444444444" u="1"/>
        <n v="0.91635294117647059" u="1"/>
        <n v="0.53351226856410261" u="1"/>
        <n v="0.89678939999999996" u="1"/>
        <n v="0.65479635294117655" u="1"/>
        <n v="0.87562925673674863" u="1"/>
        <n v="0.86177777777777775" u="1"/>
        <n v="0.93609123333333322" u="1"/>
        <n v="0.47690096111111102" u="1"/>
        <n v="7.5839999999999991E-2" u="1"/>
        <n v="0.67810263157894746" u="1"/>
        <n v="0.83283730158730163" u="1"/>
        <n v="0.69604574634146343" u="1"/>
        <n v="0.82946607222222235" u="1"/>
        <n v="0.75186840975609759" u="1"/>
        <n v="0.85059071052631607" u="1"/>
        <n v="0.91333530747211533" u="1"/>
        <n v="0.26096037000000011" u="1"/>
        <n v="0.54640555437948712" u="1"/>
        <n v="0.8" u="1"/>
        <n v="0.67942602325581392" u="1"/>
        <n v="0.86747278048780496" u="1"/>
        <n v="0.38190768899999994" u="1"/>
        <n v="0.14382618399999952" u="1"/>
        <n v="0.70417325581395351" u="1"/>
        <n v="0.74716108933775505" u="1"/>
        <n v="0.22238255882353292" u="1"/>
        <n v="0.60541945000000008" u="1"/>
        <n v="0.81549593005728072" u="1"/>
        <n v="0.17193625600000012" u="1"/>
        <n v="0.37137606699999792" u="1"/>
        <n v="0.92953651162790696" u="1"/>
        <n v="0.12839258199999951" u="1"/>
        <n v="0.34" u="1"/>
        <n v="0.80465896752541699" u="1"/>
        <n v="0.71213627906976751" u="1"/>
        <n v="0.6620044444444444" u="1"/>
        <n v="0.46898594117647063" u="1"/>
        <n v="0.96235294117647063" u="1"/>
        <n v="0.14000000000000001" u="1"/>
        <n v="0.37466666666666665" u="1"/>
        <n v="0.72260789473684206" u="1"/>
        <n v="0.93993606315789469" u="1"/>
        <n v="0.69688421052631577" u="1"/>
        <n v="0.97768631578947351" u="1"/>
        <n v="0.84461736842105262" u="1"/>
        <n v="0.67800000000000005" u="1"/>
        <n v="0.90777777777777779" u="1"/>
        <n v="0.57189473684210523" u="1"/>
        <n v="0.58022578947368419" u="1"/>
        <n v="0.82972509444444453" u="1"/>
        <n v="0.71329473684210531" u="1"/>
        <n v="0.69765722222222226" u="1"/>
        <n v="0.89043529760142137" u="1"/>
        <n v="0.69722222222222219" u="1"/>
        <n v="0.53355699444444449" u="1"/>
        <n v="0.99054626666666667" u="1"/>
        <n v="0.89611111111111108" u="1"/>
        <n v="0.78956888754899002" u="1"/>
        <n v="0.78175895765472314" u="1"/>
        <n v="0.93874328421052633" u="1"/>
        <n v="0.88908206976744186" u="1"/>
        <n v="0.27819835294117651" u="1"/>
        <n v="0.75318697674418611" u="1"/>
        <n v="0.67308261770802491" u="1"/>
        <n v="0.98019999999999996" u="1"/>
        <n v="0.70477777777777773" u="1"/>
        <n v="0.69193564307570821" u="1"/>
        <n v="0.29076923076923078" u="1"/>
        <n v="0.1915904100000001" u="1"/>
        <n v="0.60421414634146342" u="1"/>
        <n v="0.90787536000000002" u="1"/>
        <n v="0.89447368421052653" u="1"/>
        <n v="0.55955778333333328" u="1"/>
        <n v="0.96483388292682926" u="1"/>
        <n v="0.66276052631578952" u="1"/>
        <n v="0.96367460000000005" u="1"/>
        <n v="0.16945298999999978" u="1"/>
        <n v="0.1694529899999998" u="1"/>
        <n v="0.73793684210526311" u="1"/>
        <n v="0.14566666666666667" u="1"/>
        <n v="0.95172222222222225" u="1"/>
        <n v="0.93335325581395345" u="1"/>
        <n v="0.53566551712820509" u="1"/>
        <n v="0.79200372093023252" u="1"/>
        <n v="0.60148148148148151" u="1"/>
        <n v="0.70389333333333337" u="1"/>
        <n v="0.70882023255813953" u="1"/>
        <n v="0.73444429411770762" u="1"/>
        <n v="0.79451009302325581" u="1"/>
        <n v="0.80071906976744189" u="1"/>
        <n v="0.77" u="1"/>
        <n v="0.85728581395348846" u="1"/>
        <n v="0.59383431957894739" u="1"/>
        <n v="0.73982262439024382" u="1"/>
        <n v="0.57134615384615384" u="1"/>
        <n v="0.64057539682539677" u="1"/>
        <n v="0.68921072195121946" u="1"/>
        <n v="0.74471083902439006" u="1"/>
        <n v="0.93799999999999994" u="1"/>
        <n v="0.5500437944444444" u="1"/>
        <n v="0.78830625581395342" u="1"/>
        <n v="0.7709323023255813" u="1"/>
        <n v="0.1341093000000004" u="1"/>
        <n v="0.7973754146341463" u="1"/>
        <n v="0.73771480253240884" u="1"/>
        <n v="0.53195169444444457" u="1"/>
        <n v="0.98929411764705877" u="1"/>
        <n v="0.88474614444444455" u="1"/>
        <n v="0.77755555555555556" u="1"/>
        <n v="0.14605662999999999" u="1"/>
        <n v="0.80431578947368421" u="1"/>
        <n v="0.46583292484210537" u="1"/>
        <n v="0.49793822063157889" u="1"/>
        <n v="0.11000874120000001" u="1"/>
        <n v="0.84564888888888889" u="1"/>
        <n v="0.59210526315789469" u="1"/>
        <n v="0.18558588000000001" u="1"/>
        <n v="0.79677777777777781" u="1"/>
        <n v="0.35344627999999839" u="1"/>
        <n v="0.90692277777777786" u="1"/>
        <n v="0.76487707692307694" u="1"/>
        <n v="0.2307240800000003" u="1"/>
        <n v="0.57738307692307689" u="1"/>
        <n v="0.28267250599999882" u="1"/>
        <n v="0.31333333333333335" u="1"/>
        <n v="0.87766753333333292" u="1"/>
        <n v="0.92065976744186051" u="1"/>
        <n v="0.79940308947368421" u="1"/>
        <n v="0.77928500000000001" u="1"/>
        <n v="0.56164326111111107" u="1"/>
        <n v="0.4127777777777778" u="1"/>
        <n v="0.55103076923076921" u="1"/>
        <n v="0.52297585555555548" u="1"/>
        <n v="0.79637648837209307" u="1"/>
        <n v="0.72148149417894747" u="1"/>
        <n v="0.91175599644655014" u="1"/>
        <n v="0.65848548338820712" u="1"/>
        <n v="0.28810810810810811" u="1"/>
        <n v="0.9802789789473686" u="1"/>
        <n v="0.84789186046511622" u="1"/>
        <n v="0.98117647058823532" u="1"/>
        <n v="0.85444444444444445" u="1"/>
        <n v="0.14277762699999952" u="1"/>
        <n v="0.78422663113216862" u="1"/>
        <n v="0.81105263157894736" u="1"/>
        <n v="0.72403538461538453" u="1"/>
        <n v="0.8235555555555556" u="1"/>
        <n v="0.93838319999999997" u="1"/>
        <n v="9.4541060000000149E-2" u="1"/>
        <n v="0.93945997674418613" u="1"/>
        <n v="0.83654130885401246" u="1"/>
        <n v="0.6719450588235294" u="1"/>
        <n v="0.85033994999999996" u="1"/>
        <n v="0.94547905365853624" u="1"/>
        <n v="0.81913526315789476" u="1"/>
        <n v="0.7855931357876883" u="1"/>
        <n v="0.79202206976744183" u="1"/>
        <n v="0.99097199999999996" u="1"/>
        <n v="0.25836513399999989" u="1"/>
        <n v="0.75911395348837207" u="1"/>
        <n v="0.88885598657585629" u="1"/>
        <n v="0.97874773333333331" u="1"/>
        <n v="0.74671799427499752" u="1"/>
        <n v="0.90346461356233343" u="1"/>
        <n v="0.77168684210526317" u="1"/>
        <n v="0.62055555555555553" u="1"/>
        <n v="0.92231763893001673" u="1"/>
        <n v="0.96787066666666666" u="1"/>
        <n v="0.77262284878048804" u="1"/>
        <n v="0.81944444444444442" u="1"/>
        <n v="0.81035141463414628" u="1"/>
        <n v="0.63084629789473678" u="1"/>
        <n v="0.74858458823537044" u="1"/>
        <n v="0.79903267199684136" u="1"/>
        <n v="0.32466666666666666" u="1"/>
        <n v="0.17267797600000045" u="1"/>
        <n v="0.9364372666666666" u="1"/>
        <n v="0.57512894736842113" u="1"/>
        <n v="0.86169744186046515" u="1"/>
        <n v="0.11039376000000001" u="1"/>
        <n v="0.48679070588235707" u="1"/>
        <n v="0.88271678947368437" u="1"/>
        <n v="0.93673753333333332" u="1"/>
        <n v="0.70496495903662026" u="1"/>
        <n v="0.46985432276923061" u="1"/>
        <n v="0.77272837618041901" u="1"/>
        <n v="0.36159611696116506" u="1"/>
        <n v="0.96032368421052616" u="1"/>
        <n v="0.64777116279069769" u="1"/>
        <n v="0.77397268315789491" u="1"/>
        <n v="0.89410000000000001" u="1"/>
        <n v="0.39741335349514578" u="1"/>
        <n v="0.66655555555555557" u="1"/>
        <n v="0.94890725853658553" u="1"/>
        <n v="0.38665957099999859" u="1"/>
        <n v="0.91827065442700617" u="1"/>
        <n v="0.7987490315789475" u="1"/>
        <n v="0.8779946279069768" u="1"/>
        <n v="0.86389162790697671" u="1"/>
        <n v="0.92157048692631549" u="1"/>
        <n v="0.93712367979468958" u="1"/>
        <n v="0.30054547058823528" u="1"/>
        <n v="0.88752837209302327" u="1"/>
        <n v="0.64201236589473676" u="1"/>
        <n v="0.88282625581395346" u="1"/>
        <n v="0.95173230678116671" u="1"/>
        <n v="0.56163855555555553" u="1"/>
        <n v="0.84580067777777779" u="1"/>
        <n v="0.7301052631578947" u="1"/>
        <n v="0.70499999999999996" u="1"/>
        <n v="0.97058533214885001" u="1"/>
        <n v="0.68079618536585362" u="1"/>
        <n v="0.40102170588235292" u="1"/>
        <n v="0.50646108421052616" u="1"/>
        <n v="0.95003229444443649" u="1"/>
        <n v="0.16174933999999999" u="1"/>
        <n v="0.56313982352941183" u="1"/>
        <n v="0.77148157894736835" u="1"/>
        <n v="0.13620463000000002" u="1"/>
        <n v="0.92162759999999999" u="1"/>
        <n v="0.88954229148289721" u="1"/>
        <n v="0.89537064455631232" u="1"/>
        <n v="0.66296296296296298" u="1"/>
        <n v="0.71255555555555561" u="1"/>
        <n v="0.65572927906976752" u="1"/>
        <n v="0.53288888888888886" u="1"/>
        <n v="0.76266666666666671" u="1"/>
        <n v="0.56658841666666648" u="1"/>
        <n v="0.92883229691047275" u="1"/>
        <n v="0.51510348837209308" u="1"/>
        <n v="0.502" u="1"/>
        <n v="0.23099435294117648" u="1"/>
        <n v="0.7436222222222223" u="1"/>
        <n v="0.64156852941176468" u="1"/>
        <n v="0.94027777777777777" u="1"/>
        <n v="0.33958941176470592" u="1"/>
        <n v="0.9350075317073171" u="1"/>
        <n v="0.96312031111111107" u="1"/>
        <n v="0.41433780421359212" u="1"/>
        <n v="0.94165051707317071" u="1"/>
        <n v="0.77022222222222225" u="1"/>
        <n v="0.97388944444444436" u="1"/>
        <n v="0.72972222222222227" u="1"/>
        <n v="0.50589748355789488" u="1"/>
        <n v="0.98291813953488372" u="1"/>
        <n v="0.73933333333333329" u="1"/>
        <n v="0.96911111111111115" u="1"/>
        <n v="0.99123992195121979" u="1"/>
        <n v="0.76481794117647051" u="1"/>
        <n v="0.93952880000000005" u="1"/>
        <n v="0.9735974833333334" u="1"/>
        <n v="0.78944444444444439" u="1"/>
        <n v="0.62750526315789479" u="1"/>
        <n v="0.62631775578947357" u="1"/>
        <n v="0.93822222222222218" u="1"/>
        <n v="0.69871315789473676" u="1"/>
        <n v="0.76892015384615386" u="1"/>
        <n v="0.90593228703977891" u="1"/>
        <n v="0.65621526315789469" u="1"/>
        <n v="0.74648083168421064" u="1"/>
        <n v="0.9366843777777768" u="1"/>
        <n v="0.65333860465116289" u="1"/>
        <n v="0.95744444444444443" u="1"/>
        <n v="0.72756774831578941" u="1"/>
        <n v="0.65447574448421064" u="1"/>
        <n v="0.72850965853658534" u="1"/>
        <n v="0.77777777777777779" u="1"/>
        <n v="0.25189091999999996" u="1"/>
        <n v="0.55537777777777775" u="1"/>
        <n v="0.73077315789473685" u="1"/>
        <n v="0.95345618536585353" u="1"/>
        <n v="0.8803293149073802" u="1"/>
        <n v="0.625541052631579" u="1"/>
        <n v="0.80150034547428683" u="1"/>
        <n v="0.47305384615384616" u="1"/>
        <n v="0.56776052631578955" u="1"/>
        <n v="0.91916865069473697" u="1"/>
        <n v="0.36446413999999833" u="1"/>
        <n v="0.38366288990291264" u="1"/>
        <n v="0.58592592592592596" u="1"/>
        <n v="0.36446413999999849" u="1"/>
        <n v="0.57782115000000001" u="1"/>
        <n v="0.83496199782844738" u="1"/>
        <n v="0.90346935609756085" u="1"/>
        <n v="0.38780779368932039" u="1"/>
        <n v="0.39722094117647061" u="1"/>
        <n v="0.99331661463414622" u="1"/>
        <n v="0.84957062481492451" u="1"/>
        <n v="0.55878222222222218" u="1"/>
        <n v="0.88453802105263146" u="1"/>
        <n v="0.78533333333333333" u="1"/>
        <n v="0.96699171250526306" u="1"/>
        <n v="0.85555122222222235" u="1"/>
        <n v="0.45073306757894727" u="1"/>
        <n v="0.80455555555555558" u="1"/>
        <n v="0.98468581395348842" u="1"/>
        <n v="0.78325139534883725" u="1"/>
        <n v="0.92073832790445165" u="1"/>
        <n v="0.59399999999999997" u="1"/>
        <n v="0.95762233333333324" u="1"/>
        <n v="0.21170181200000018" u="1"/>
        <n v="0.92291686111111026" u="1"/>
        <n v="0.95419998025861219" u="1"/>
        <n v="0.92820439534883714" u="1"/>
        <n v="0.97925671219512189" u="1"/>
        <n v="0.66333333333333333" u="1"/>
        <n v="0.41052307692307693" u="1"/>
        <n v="0.60568421052631582" u="1"/>
        <n v="0.80159395121951216" u="1"/>
        <n v="0.79747531707317076" u="1"/>
        <n v="0.92062822105263153" u="1"/>
        <n v="0.71352579069767441" u="1"/>
        <n v="0.38431672324271843" u="1"/>
        <n v="0.51055474995789463" u="1"/>
        <n v="0.70002184837229631" u="1"/>
        <n v="0.7496757457846952" u="1"/>
        <n v="0.61604789268292681" u="1"/>
        <n v="0.72113095238095237" u="1"/>
        <n v="0.76178894117655527" u="1"/>
        <n v="0.72150631578947377" u="1"/>
        <n v="0.84600297222222209" u="1"/>
        <n v="0.19475721200000046" u="1"/>
        <n v="0.76168975609756084" u="1"/>
        <n v="0.77328164878048788" u="1"/>
        <n v="0.91669134340144109" u="1"/>
        <n v="0.77455335110058232" u="1"/>
        <n v="0.94854454572184654" u="1"/>
        <n v="0.21836744199999999" u="1"/>
        <n v="0.37711954614563115" u="1"/>
        <n v="0.84850000000000003" u="1"/>
        <n v="0.66883333333333328" u="1"/>
        <n v="0.55365526315789482" u="1"/>
        <n v="0.707179046511628" u="1"/>
        <n v="0.85811111111111116" u="1"/>
        <n v="0.92975902222221662" u="1"/>
        <n v="0.62646684210526316" u="1"/>
        <n v="0.68234126984126986" u="1"/>
        <n v="0.90261078947368401" u="1"/>
        <n v="0.65654615384615389" u="1"/>
      </sharedItems>
    </cacheField>
    <cacheField name="Estimated Unoccupied CBM" numFmtId="0">
      <sharedItems containsString="0" containsBlank="1" containsNumber="1" minValue="0" maxValue="10756.328100000001"/>
    </cacheField>
    <cacheField name="Forecasted occupancy CBM" numFmtId="0">
      <sharedItems containsNonDate="0" containsString="0" containsBlank="1"/>
    </cacheField>
    <cacheField name="Sellable CBM" numFmtId="1">
      <sharedItems containsSemiMixedTypes="0" containsString="0" containsNumber="1" minValue="0" maxValue="11176.328100000001"/>
    </cacheField>
    <cacheField name="DC2" numFmtId="0">
      <sharedItems/>
    </cacheField>
    <cacheField name="measurement" numFmtId="0">
      <sharedItems/>
    </cacheField>
    <cacheField name="Capacity" numFmtId="0">
      <sharedItems containsSemiMixedTypes="0" containsString="0" containsNumber="1" containsInteger="1" minValue="100" maxValue="21000"/>
    </cacheField>
    <cacheField name="Sqft" numFmtId="0">
      <sharedItems containsSemiMixedTypes="0" containsString="0" containsNumber="1" containsInteger="1" minValue="0" maxValue="24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hruhan Sivalogithan" refreshedDate="45128.407605902779" createdVersion="5" refreshedVersion="8" minRefreshableVersion="3" recordCount="15" xr:uid="{00000000-000A-0000-FFFF-FFFF4D000000}">
  <cacheSource type="worksheet">
    <worksheetSource ref="GG19:GK34" sheet="All WH"/>
  </cacheSource>
  <cacheFields count="5">
    <cacheField name="Date" numFmtId="14">
      <sharedItems containsNonDate="0" containsDate="1" containsString="0" containsBlank="1" minDate="2019-11-04T00:00:00" maxDate="2019-12-10T00:00:00" count="19">
        <d v="2019-11-04T00:00:00"/>
        <d v="2019-11-06T00:00:00"/>
        <d v="2019-11-07T00:00:00"/>
        <d v="2019-11-11T00:00:00"/>
        <d v="2019-11-13T00:00:00"/>
        <d v="2019-11-14T00:00:00"/>
        <d v="2019-11-15T00:00:00"/>
        <d v="2019-11-18T00:00:00"/>
        <d v="2019-11-21T00:00:00"/>
        <d v="2019-11-22T00:00:00"/>
        <d v="2019-11-25T00:00:00"/>
        <d v="2019-11-26T00:00:00"/>
        <d v="2019-11-30T00:00:00"/>
        <m/>
        <d v="2019-12-03T00:00:00"/>
        <d v="2019-12-09T00:00:00" u="1"/>
        <d v="2019-12-05T00:00:00" u="1"/>
        <d v="2019-12-06T00:00:00" u="1"/>
        <d v="2019-12-04T00:00:00" u="1"/>
      </sharedItems>
    </cacheField>
    <cacheField name="LPPL" numFmtId="1">
      <sharedItems containsString="0" containsBlank="1" containsNumber="1" containsInteger="1" minValue="6915" maxValue="7756"/>
    </cacheField>
    <cacheField name="Nuge Rd" numFmtId="1">
      <sharedItems containsString="0" containsBlank="1" containsNumber="1" containsInteger="1" minValue="7337" maxValue="7993"/>
    </cacheField>
    <cacheField name="EGF" numFmtId="0">
      <sharedItems containsString="0" containsBlank="1" containsNumber="1" containsInteger="1" minValue="12652" maxValue="14550"/>
    </cacheField>
    <cacheField name="Ja Ela" numFmtId="1">
      <sharedItems containsString="0" containsBlank="1" containsNumber="1" containsInteger="1" minValue="1286" maxValue="15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hruhan Sivalogithan" refreshedDate="45128.407606597226" createdVersion="5" refreshedVersion="8" minRefreshableVersion="3" recordCount="223" xr:uid="{00000000-000A-0000-FFFF-FFFF4A000000}">
  <cacheSource type="worksheet">
    <worksheetSource ref="A1:B224" sheet="Sheet1"/>
  </cacheSource>
  <cacheFields count="2">
    <cacheField name="DC" numFmtId="0">
      <sharedItems containsDate="1" containsMixedTypes="1" minDate="2018-01-02T00:00:00" maxDate="2020-02-11T00:00:00" count="222">
        <s v="30/10/2018"/>
        <s v="31/10/2018"/>
        <d v="2018-01-11T00:00:00"/>
        <d v="2018-05-11T00:00:00"/>
        <d v="2018-06-11T00:00:00"/>
        <d v="2018-07-11T00:00:00"/>
        <d v="2018-08-11T00:00:00"/>
        <d v="2018-09-11T00:00:00"/>
        <d v="2018-12-11T00:00:00"/>
        <s v="13/11/2018"/>
        <s v="14/11/2018"/>
        <s v="16/11/2018"/>
        <s v="19/11/2018"/>
        <s v="21/11/2018"/>
        <s v="26/11/2018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9T00:00:00"/>
        <d v="2018-12-10T00:00:00"/>
        <d v="2018-12-13T00:00:00"/>
        <d v="2018-12-17T00:00:00"/>
        <d v="2018-12-19T00:00:00"/>
        <d v="2018-12-20T00:00:00"/>
        <d v="2018-12-27T00:00:00"/>
        <d v="2018-12-28T00:00:00"/>
        <d v="2018-01-02T00:00:00"/>
        <d v="2018-01-04T00:00:00"/>
        <d v="2019-01-07T00:00:00"/>
        <d v="2019-01-08T00:00:00"/>
        <d v="2019-01-09T00:00:00"/>
        <d v="2019-01-10T00:00:00"/>
        <d v="2019-01-11T00:00:00"/>
        <d v="2019-01-14T00:00:00"/>
        <d v="2019-01-16T00:00:00"/>
        <d v="2019-01-18T00:00:00"/>
        <d v="2019-01-21T00:00:00"/>
        <d v="2019-01-22T00:00:00"/>
        <d v="2019-01-24T00:00:00"/>
        <d v="2019-01-25T00:00:00"/>
        <d v="2019-01-29T00:00:00"/>
        <d v="2019-01-30T00:00:00"/>
        <d v="2019-01-31T00:00:00"/>
        <d v="2019-02-01T00:00:00"/>
        <d v="2019-02-05T00:00:00"/>
        <d v="2019-02-06T00:00:00"/>
        <d v="2019-02-07T00:00:00"/>
        <d v="2019-02-08T00:00:00"/>
        <d v="2019-02-10T00:00:00"/>
        <d v="2019-02-13T00:00:00"/>
        <d v="2019-02-14T00:00:00"/>
        <d v="2019-02-15T00:00:00"/>
        <d v="2019-02-18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21T00:00:00"/>
        <d v="2019-03-22T00:00:00"/>
        <d v="2019-03-25T00:00:00"/>
        <d v="2019-03-26T00:00:00"/>
        <d v="2019-03-27T00:00:00"/>
        <d v="2019-03-28T00:00:00"/>
        <d v="2019-04-03T00:00:00"/>
        <d v="2019-04-05T00:00:00"/>
        <d v="2019-04-09T00:00:00"/>
        <d v="2019-04-11T00:00:00"/>
        <d v="2019-04-22T00:00:00"/>
        <d v="2019-04-24T00:00:00"/>
        <d v="2019-04-25T00:00:00"/>
        <d v="2019-04-26T00:00:00"/>
        <d v="2019-04-29T00:00:00"/>
        <d v="2019-04-30T00:00:00"/>
        <d v="2019-05-02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1T00:00:00"/>
        <d v="2019-06-04T00:00:00"/>
        <d v="2019-06-05T00:00:00"/>
        <d v="2019-06-06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7T00:00:00"/>
        <d v="2019-06-28T00:00:00"/>
        <d v="2019-07-01T00:00:00"/>
        <d v="2019-07-02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7T00:00:00"/>
        <d v="2019-07-18T00:00:00"/>
        <d v="2019-07-19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2T00:00:00"/>
        <d v="2019-08-05T00:00:00"/>
        <d v="2019-08-07T00:00:00"/>
        <d v="2019-08-09T00:00:00"/>
        <d v="2019-08-12T00:00:00"/>
        <d v="2019-08-13T00:00:00"/>
        <d v="2019-08-15T00:00:00"/>
        <d v="2019-08-16T00:00:00"/>
        <d v="2019-08-23T00:00:00"/>
        <d v="2019-09-18T00:00:00"/>
        <d v="2019-09-19T00:00:00"/>
        <d v="2019-09-20T00:00:00"/>
        <d v="2019-09-21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7T00:00:00"/>
        <d v="2019-10-18T00:00:00"/>
        <d v="2019-10-21T00:00:00"/>
        <d v="2019-10-22T00:00:00"/>
        <d v="2019-10-23T00:00:00"/>
        <d v="2019-10-24T00:00:00"/>
        <d v="2019-10-28T00:00:00"/>
        <d v="2019-10-29T00:00:00"/>
        <d v="2019-10-30T00:00:00"/>
        <d v="2019-11-04T00:00:00"/>
        <d v="2019-11-06T00:00:00"/>
        <d v="2019-11-07T00:00:00"/>
        <d v="2019-11-11T00:00:00"/>
        <d v="2019-11-13T00:00:00"/>
        <d v="2019-11-14T00:00:00"/>
        <d v="2019-11-15T00:00:00"/>
        <d v="2019-11-18T00:00:00"/>
        <d v="2019-11-21T00:00:00"/>
        <d v="2019-11-22T00:00:00"/>
        <d v="2019-11-25T00:00:00"/>
        <d v="2019-11-26T00:00:00"/>
        <d v="2019-11-30T00:00:00"/>
        <d v="2019-12-03T00:00:00"/>
        <d v="2019-12-04T00:00:00"/>
        <d v="2019-12-05T00:00:00"/>
        <d v="2019-12-06T00:00:00"/>
        <d v="2019-12-09T00:00:00"/>
        <d v="2019-12-10T00:00:00"/>
        <d v="2019-12-12T00:00:00"/>
        <d v="2019-12-16T00:00:00"/>
        <d v="2019-12-17T00:00:00"/>
        <d v="2019-12-19T00:00:00"/>
        <d v="2019-12-20T00:00:00"/>
        <d v="2019-12-23T00:00:00"/>
        <d v="2019-12-26T00:00:00"/>
        <d v="2019-12-30T00:00:00"/>
        <d v="2020-01-02T00:00:00"/>
        <d v="2020-01-03T00:00:00"/>
        <d v="2020-01-06T00:00:00"/>
        <d v="2020-01-07T00:00:00"/>
        <d v="2020-01-08T00:00:00"/>
        <d v="2020-01-09T00:00:00"/>
        <d v="2020-01-13T00:00:00"/>
        <d v="2020-01-17T00:00:00"/>
        <d v="2020-01-20T00:00:00"/>
        <d v="2020-01-22T00:00:00"/>
        <d v="2020-01-23T00:00:00"/>
        <d v="2020-01-27T00:00:00"/>
        <d v="2020-01-29T00:00:00"/>
        <d v="2020-01-30T00:00:00"/>
        <d v="2020-02-03T00:00:00"/>
        <d v="2020-02-06T00:00:00"/>
        <d v="2020-02-07T00:00:00"/>
        <d v="2020-02-10T00:00:00"/>
      </sharedItems>
    </cacheField>
    <cacheField name="EGF" numFmtId="0">
      <sharedItems containsString="0" containsBlank="1" containsNumber="1" containsInteger="1" minValue="7495" maxValue="155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hruhan Sivalogithan" refreshedDate="45128.407607638888" createdVersion="5" refreshedVersion="8" minRefreshableVersion="3" recordCount="15" xr:uid="{00000000-000A-0000-FFFF-FFFF47000000}">
  <cacheSource type="worksheet">
    <worksheetSource ref="AII57:AIO72" sheet="All WH"/>
  </cacheSource>
  <cacheFields count="7">
    <cacheField name="Site" numFmtId="0">
      <sharedItems containsBlank="1" count="32">
        <s v="Orugodawatta DC"/>
        <s v="Orugodawatta DC Cold Room "/>
        <s v="Peliyagoda DC"/>
        <s v="Expo Global Freeport "/>
        <s v="Hirdaramani Knit Client Warehouse"/>
        <s v="Hirdaramani Woven Client Warehouse "/>
        <s v="Kandana DC"/>
        <s v="Total"/>
        <m/>
        <s v="Nestle DC"/>
        <s v="Site"/>
        <s v="Main DC"/>
        <s v="Main DC - Pick reserve for quality purpose"/>
        <s v="Main DC Total"/>
        <s v="BIPL"/>
        <s v="Kandana" u="1"/>
        <s v="Nestle Pannala " u="1"/>
        <s v="Chemical WH" u="1"/>
        <s v="KFC" u="1"/>
        <s v="EGF" u="1"/>
        <s v="PFC" u="1"/>
        <s v="Expo Global Freeport - Mercury Plant" u="1"/>
        <s v="Ja Ela" u="1"/>
        <s v="Expo Global Freeport DC" u="1"/>
        <s v="Expo Global Freeport -  Hidramani Woven" u="1"/>
        <s v="Cold Room Orugodawatta DC" u="1"/>
        <s v="LPPL" u="1"/>
        <s v="Main WH" u="1"/>
        <s v="NLL" u="1"/>
        <s v="OFC" u="1"/>
        <s v="Nuge Rd" u="1"/>
        <s v=" WH No 02" u="1"/>
      </sharedItems>
    </cacheField>
    <cacheField name="Measurement" numFmtId="0">
      <sharedItems containsBlank="1"/>
    </cacheField>
    <cacheField name="Cargo volume Capacity " numFmtId="0">
      <sharedItems containsBlank="1" containsMixedTypes="1" containsNumber="1" containsInteger="1" minValue="100" maxValue="55150"/>
    </cacheField>
    <cacheField name="On hand inventory" numFmtId="0">
      <sharedItems containsBlank="1" containsMixedTypes="1" containsNumber="1" minValue="0" maxValue="30594.351014"/>
    </cacheField>
    <cacheField name="Unoccupied Space" numFmtId="0">
      <sharedItems containsBlank="1" containsMixedTypes="1" containsNumber="1" minValue="0" maxValue="24731.688485999999"/>
    </cacheField>
    <cacheField name="For demand fluctuations + Honeycomb" numFmtId="0">
      <sharedItems containsString="0" containsBlank="1" containsNumber="1" minValue="3" maxValue="2066.5"/>
    </cacheField>
    <cacheField name="Actual Sellable" numFmtId="0">
      <sharedItems containsBlank="1" containsMixedTypes="1" containsNumber="1" minValue="60.560633300000141" maxValue="22890.188485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hruhan Sivalogithan" refreshedDate="45128.40760914352" createdVersion="6" refreshedVersion="8" minRefreshableVersion="3" recordCount="6" xr:uid="{D64578AD-80E8-4D6B-B155-44C7720716BB}">
  <cacheSource type="worksheet">
    <worksheetSource ref="AII85:AIO91" sheet="All WH"/>
  </cacheSource>
  <cacheFields count="7">
    <cacheField name="Site" numFmtId="0">
      <sharedItems containsBlank="1" count="6">
        <m/>
        <s v="Expo Global Freeport "/>
        <s v="Kandana DC"/>
        <s v="Orugodawatta DC"/>
        <s v="Orugodawatta DC Cold Room "/>
        <s v="Peliyagoda DC"/>
      </sharedItems>
    </cacheField>
    <cacheField name="Measurement" numFmtId="0">
      <sharedItems containsBlank="1"/>
    </cacheField>
    <cacheField name="Cargo volume Capacity " numFmtId="0">
      <sharedItems containsString="0" containsBlank="1" containsNumber="1" containsInteger="1" minValue="100" maxValue="21000"/>
    </cacheField>
    <cacheField name="On hand inventory" numFmtId="0">
      <sharedItems containsString="0" containsBlank="1" containsNumber="1" minValue="36.439366699999859" maxValue="8773.6718999999994"/>
    </cacheField>
    <cacheField name="Unoccupied Space" numFmtId="0">
      <sharedItems containsBlank="1" containsMixedTypes="1" containsNumber="1" minValue="63.560633300000141" maxValue="12226.328100000001"/>
    </cacheField>
    <cacheField name="For demand fluctuations + Honeycomb" numFmtId="0">
      <sharedItems containsString="0" containsBlank="1" containsNumber="1" minValue="3" maxValue="721.00000000000011"/>
    </cacheField>
    <cacheField name="Actual Sellable" numFmtId="0">
      <sharedItems containsBlank="1" containsMixedTypes="1" containsNumber="1" minValue="60.560633300000141" maxValue="11596.3281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hruhan Sivalogithan" refreshedDate="45128.40761076389" createdVersion="5" refreshedVersion="8" minRefreshableVersion="3" recordCount="9" xr:uid="{00000000-000A-0000-FFFF-FFFF64000000}">
  <cacheSource type="worksheet">
    <worksheetSource ref="AIJ1:AIS10" sheet="All WH"/>
  </cacheSource>
  <cacheFields count="10">
    <cacheField name="DC" numFmtId="0">
      <sharedItems count="12">
        <s v="Orugodawatta DC"/>
        <s v="Orugodawatta DC Cold Room "/>
        <s v="Peliyagoda DC"/>
        <s v="Expo Global Freeport "/>
        <s v="Hirdaramani Knit Client Warehouse"/>
        <s v="Hirdaramani Woven Client Warehouse "/>
        <s v="Kandana DC"/>
        <s v="Nestle - Main DC"/>
        <s v="BIPL"/>
        <s v="Cold Room Orugodawatta DC" u="1"/>
        <s v="Expo Global Freeport -  Mercury Plant" u="1"/>
        <s v="Expo Global Freeport -  Hidramani Woven" u="1"/>
      </sharedItems>
    </cacheField>
    <cacheField name="Occupancy" numFmtId="1">
      <sharedItems containsSemiMixedTypes="0" containsString="0" containsNumber="1" minValue="0" maxValue="9169"/>
    </cacheField>
    <cacheField name="Utilization %" numFmtId="9">
      <sharedItems containsSemiMixedTypes="0" containsString="0" containsNumber="1" minValue="0" maxValue="1" count="2632">
        <n v="0.46968139294174771"/>
        <n v="0.36439366699999859"/>
        <n v="0.60055033170731698"/>
        <n v="0.4177939"/>
        <n v="0"/>
        <n v="0.72438162790697669"/>
        <n v="1"/>
        <n v="0.90504392458789851"/>
        <n v="0.57399999999999995"/>
        <n v="0.68523672222222209" u="1"/>
        <n v="0.3840685589999997" u="1"/>
        <n v="0.98438047368421044" u="1"/>
        <n v="0.14199999999999999" u="1"/>
        <n v="0.1077678460000001" u="1"/>
        <n v="0.8541713055555552" u="1"/>
        <n v="0.75137765000000012" u="1"/>
        <n v="0.75165334122988847" u="1"/>
        <n v="0.44819563809523816" u="1"/>
        <n v="0.91264435889843054" u="1"/>
        <n v="0.68600000000000005" u="1"/>
        <n v="0.32403370588235852" u="1"/>
        <n v="0.91677279069767448" u="1"/>
        <n v="0.15933333333333333" u="1"/>
        <n v="0.94610601125259108" u="1"/>
        <n v="0.17080289000000001" u="1"/>
        <n v="0.79421866111111106" u="1"/>
        <n v="0.82748870555555554" u="1"/>
        <n v="5.5115117647058266E-2" u="1"/>
        <n v="0.67643865363735067" u="1"/>
        <n v="0.8013994333333333" u="1"/>
        <n v="0.83742967130589285" u="1"/>
        <n v="0.64211023255813959" u="1"/>
        <n v="0.7529890731707316" u="1"/>
        <n v="0.21866666666666668" u="1"/>
        <n v="0.8533964780487806" u="1"/>
        <n v="0.13997724699999967" u="1"/>
        <n v="0.86515810555555572" u="1"/>
        <n v="0.96615593071578942" u="1"/>
        <n v="0.78635775609756098" u="1"/>
        <n v="0.98889067441860468" u="1"/>
        <n v="0.84559372093023255" u="1"/>
        <n v="0.7870062634146342" u="1"/>
        <n v="0.80133333333333334" u="1"/>
        <n v="0.69667418604651166" u="1"/>
        <n v="0.38815416262135927" u="1"/>
        <n v="0.54066666666666663" u="1"/>
        <n v="0.4910106666666666" u="1"/>
        <n v="0.95965406666666664" u="1"/>
        <n v="0.39" u="1"/>
        <n v="0.22729198000000037" u="1"/>
        <n v="0.86684433915704273" u="1"/>
        <n v="0.77889858139534884" u="1"/>
        <n v="0.67787813550526321" u="1"/>
        <n v="0.40812581054368924" u="1"/>
        <n v="0.94605270243902417" u="1"/>
        <n v="0.80596847804878058" u="1"/>
        <n v="0.90030599151120327" u="1"/>
        <n v="0.2929433469999998" u="1"/>
        <n v="0.73114811627906984" u="1"/>
        <n v="0.79539414634146344" u="1"/>
        <n v="0.70920897560975604" u="1"/>
        <n v="0.83194604651162785" u="1"/>
        <n v="0.88990903157894741" u="1"/>
        <n v="0.73352214634146351" u="1"/>
        <n v="0.84733333333333338" u="1"/>
        <n v="0.82007185000000005" u="1"/>
        <n v="0.14369924000000128" u="1"/>
        <n v="0.58666666666666667" u="1"/>
        <n v="0.66834468463132957" u="1"/>
        <n v="0.90241511578947375" u="1"/>
        <n v="0.67525527222222215" u="1"/>
        <n v="0.5356441999999999" u="1"/>
        <n v="0.80788279069767444" u="1"/>
        <n v="0.3877846699029126" u="1"/>
        <n v="0.7206593623531734" u="1"/>
        <n v="0.87740598164050931" u="1"/>
        <n v="0.3821841399999984" u="1"/>
        <n v="0.88165038002171547" u="1"/>
        <n v="0.97663225555554689" u="1"/>
        <n v="0.48450528943589749" u="1"/>
        <n v="0.89722626666666672" u="1"/>
        <n v="0.51839462790697677" u="1"/>
        <n v="0.82399999999999995" u="1"/>
        <n v="0.91511203237587602" u="1"/>
        <n v="0.98249839999999999" u="1"/>
        <n v="0.56333333333333335" u="1"/>
        <n v="0.87815628292682923" u="1"/>
        <n v="0.9427340333333335" u="1"/>
        <n v="0.12866666666666668" u="1"/>
        <n v="0.88887395136842107" u="1"/>
        <n v="0.64544467476063572" u="1"/>
        <n v="0.61179782222222223" u="1"/>
        <n v="0.99791039999999998" u="1"/>
        <n v="0.54010987777777775" u="1"/>
        <n v="7.982148E-2" u="1"/>
        <n v="9.2975697999999996E-2" u="1"/>
        <n v="0.79307921951219507" u="1"/>
        <n v="0.6778160284210526" u="1"/>
        <n v="0.78528441860465115" u="1"/>
        <n v="0.97369240000000001" u="1"/>
        <n v="0.58669927747368422" u="1"/>
        <n v="0.87" u="1"/>
        <n v="0.91106504787286546" u="1"/>
        <n v="0.54919490469473686" u="1"/>
        <n v="0.75719232558139538" u="1"/>
        <n v="0.81699733491264437" u="1"/>
        <n v="0.18276831199999954" u="1"/>
        <n v="0.72607160975609752" u="1"/>
        <n v="0.54099023888888886" u="1"/>
        <n v="0.10866666666666666" u="1"/>
        <n v="0.66386781463414646" u="1"/>
        <n v="0.85170464444444449" u="1"/>
        <n v="0.73810927804878046" u="1"/>
        <n v="0.36333333333333334" u="1"/>
        <n v="0.78545589268292682" u="1"/>
        <n v="0.65533333333333332" u="1"/>
        <n v="0.39800000000000002" u="1"/>
        <n v="0.85552388372093024" u="1"/>
        <n v="0.406214589223301" u="1"/>
        <n v="0.80230720975609759" u="1"/>
        <n v="0.26846906999999953" u="1"/>
        <n v="0.9746670944444441" u="1"/>
        <n v="0.39248566473786417" u="1"/>
        <n v="0.82951562222222242" u="1"/>
        <n v="0.86526502813147765" u="1"/>
        <n v="0.53333333333333333" u="1"/>
        <n v="0.87706581395348837" u="1"/>
        <n v="0.86340438048780466" u="1"/>
        <n v="0.94465462790697674" u="1"/>
        <n v="0.91757970585332149" u="1"/>
        <n v="0.6215559902439024" u="1"/>
        <n v="0.6768296222222222" u="1"/>
        <n v="0.36808626650485438" u="1"/>
        <n v="0.96481773333333332" u="1"/>
        <n v="0.97851253333333332" u="1"/>
        <n v="0.38194168539805828" u="1"/>
        <n v="0.77066666666666672" u="1"/>
        <n v="0.89498418604651153" u="1"/>
        <n v="0.51" u="1"/>
        <n v="0.38825166999999994" u="1"/>
        <n v="0.4125242704174758" u="1"/>
        <n v="0.8612180436284671" u="1"/>
        <n v="0.3823188823529447" u="1"/>
        <n v="0.15733333333333333" u="1"/>
        <n v="0.40933333333333333" u="1"/>
        <n v="0.2252800849999981" u="1"/>
        <n v="0.85456837209302317" u="1"/>
        <n v="0.10249035294117646" u="1"/>
        <n v="0.91601573333333342" u="1"/>
        <n v="0.74068883720930234" u="1"/>
        <n v="0.8208418604651162" u="1"/>
        <n v="0.81946500839008984" u="1"/>
        <n v="0.10869452" u="1"/>
        <n v="0.9615408975609756" u="1"/>
        <n v="0.97735494634146303" u="1"/>
        <n v="0.90948573684730039" u="1"/>
        <n v="0.27449358823529413" u="1"/>
        <n v="0.79158429268292674" u="1"/>
        <n v="0.76734774454644161" u="1"/>
        <n v="0.72251969756097556" u="1"/>
        <n v="0.84625413658536586" u="1"/>
        <n v="0.89726883720930228" u="1"/>
        <n v="0.33666666666666667" u="1"/>
        <n v="0.10277025999999999" u="1"/>
        <n v="0.86266666666666669" u="1"/>
        <n v="0.721189736585366" u="1"/>
        <n v="0.36113749644660192" u="1"/>
        <n v="0.75604325581395349" u="1"/>
        <n v="0.86692090697674418" u="1"/>
        <n v="0.46409330555555556" u="1"/>
        <n v="0.9910176685420985" u="1"/>
        <n v="0.52393107705263153" u="1"/>
        <n v="0.62307131707317076" u="1"/>
        <n v="0.67133333333333334" u="1"/>
        <n v="0.86149015000000018" u="1"/>
        <n v="0.79195907777777808" u="1"/>
        <n v="0.87058197222222222" u="1"/>
        <n v="0.86773270160892313" u="1"/>
        <n v="0.77247784390243901" u="1"/>
        <n v="0.45533333333333331" u="1"/>
        <n v="7.7357019999999999E-2" u="1"/>
        <n v="0.90119435396308356" u="1"/>
        <n v="0.90444030555555521" u="1"/>
        <n v="0.81954652777777781" u="1"/>
        <n v="0.3965965655339807" u="1"/>
        <n v="0.82169534883720929" u="1"/>
        <n v="0.80005093023255813" u="1"/>
        <n v="0.26400000000000001" u="1"/>
        <n v="0.69210346511627907" u="1"/>
        <n v="0.10800199999999993" u="1"/>
        <n v="0.5297185105263158" u="1"/>
        <n v="0.31685764705882891" u="1"/>
        <n v="0.39600705882352938" u="1"/>
        <n v="0.88415449873684226" u="1"/>
        <n v="0.59294524589473674" u="1"/>
        <n v="0.69295672093023264" u="1"/>
        <n v="0.72703383414634148" u="1"/>
        <n v="0.38266666666666665" u="1"/>
        <n v="0.82737639444444444" u="1"/>
        <n v="0.41733333333333333" u="1"/>
        <n v="0.91906723333333318" u="1"/>
        <n v="0.65144046511627907" u="1"/>
        <n v="0.25512991999999995" u="1"/>
        <n v="0.88973868333333361" u="1"/>
        <n v="0.22066666666666668" u="1"/>
        <n v="0.46723389915789476" u="1"/>
        <n v="0.64353082777777793" u="1"/>
        <n v="0.94541506267890629" u="1"/>
        <n v="0.27533333333333332" u="1"/>
        <n v="0.83191833285263161" u="1"/>
        <n v="0.93818534883720928" u="1"/>
        <n v="0.92365069767441854" u="1"/>
        <n v="0.31" u="1"/>
        <n v="0.92628358888888884" u="1"/>
        <n v="0.86645343333333347" u="1"/>
        <n v="9.1032979999999847E-2" u="1"/>
        <n v="0.84949434146341452" u="1"/>
        <n v="0.70853488372093021" u="1"/>
        <n v="0.90366202744052904" u="1"/>
        <n v="0.61799999999999999" u="1"/>
        <n v="0.36813275899999987" u="1"/>
        <n v="0.72490393800000019" u="1"/>
        <n v="0.76238084444444432" u="1"/>
        <n v="0.78656854378947383" u="1"/>
        <n v="0.88796558139534887" u="1"/>
        <n v="0.94136807817589574" u="1"/>
        <n v="0.96169333333333085" u="1"/>
        <n v="0.99737280000000006" u="1"/>
        <n v="0.75710576585365841" u="1"/>
        <n v="0.74493746341463407" u="1"/>
        <n v="0.86380139534883726" u="1"/>
        <n v="0.15641058000000041" u="1"/>
        <n v="0.70154407011578956" u="1"/>
        <n v="0.95113767441860464" u="1"/>
        <n v="0.66438788372093027" u="1"/>
        <n v="0.69998904651162797" u="1"/>
        <n v="0.69955356097560972" u="1"/>
        <n v="0.82427413658536586" u="1"/>
        <n v="0.93307669529167903" u="1"/>
        <n v="0.12377879299999936" u="1"/>
        <n v="0.97078274602704573" u="1"/>
        <n v="0.14667237899999958" u="1"/>
        <n v="0.90133333333333332" u="1"/>
        <n v="0.72944623414634147" u="1"/>
        <n v="0.73996913387368424" u="1"/>
        <n v="0.17384785" u="1"/>
        <n v="0.14667237899999999" u="1"/>
        <n v="0.39066666666666666" u="1"/>
        <n v="0.70407667317073175" u="1"/>
        <n v="0.36555653333009724" u="1"/>
        <n v="0.72651670588235295" u="1"/>
        <n v="0.15103505882352941" u="1"/>
        <n v="0.91442108380219134" u="1"/>
        <n v="0.94400078287368405" u="1"/>
        <n v="0.92902971078866847" u="1"/>
        <n v="0.9624913631428289" u="1"/>
        <n v="0.96673576152403518" u="1"/>
        <n v="0.14369618399999953" u="1"/>
        <n v="0.70178488372093029" u="1"/>
        <n v="0.78776904651162794" u="1"/>
        <n v="0.90612970091797451" u="1"/>
        <n v="0.67941821666666669" u="1"/>
        <n v="0.8094858139534884" u="1"/>
        <n v="0.33260662299999888" u="1"/>
        <n v="0.89750093023255817" u="1"/>
        <n v="0.97461522222221419" u="1"/>
        <n v="0.76783001673684204" u="1"/>
        <n v="0.33261623529412043" u="1"/>
        <n v="0.92054952777777743" u="1"/>
        <n v="0.60077688873684221" u="1"/>
        <n v="0.93095260487804854" u="1"/>
        <n v="0.41476294999999797" u="1"/>
        <n v="0.86962096585365845" u="1"/>
        <n v="0.41476294999999824" u="1"/>
        <n v="0.73266666666666669" u="1"/>
        <n v="0.52962556666666649" u="1"/>
        <n v="0.71636509302325579" u="1"/>
        <n v="0.82848743611111153" u="1"/>
        <n v="0.10039955199999995" u="1"/>
        <n v="0.18159517647058823" u="1"/>
        <n v="0.92093574178264737" u="1"/>
        <n v="0.35909301439805835" u="1"/>
        <n v="0.99692658888888863" u="1"/>
        <n v="0.17079288999999986" u="1"/>
        <n v="0.17079289000000025" u="1"/>
        <n v="0.17079289000000042" u="1"/>
        <n v="0.79839277777777773" u="1"/>
        <n v="0.29466666666666669" u="1"/>
        <n v="0.61472418604651158" u="1"/>
        <n v="0.96968760000000009" u="1"/>
        <n v="0.85189219999999988" u="1"/>
        <n v="0.77087065365853658" u="1"/>
        <n v="0.50017463888888869" u="1"/>
        <n v="0.16153152941176468" u="1"/>
        <n v="0.88444237777777668" u="1"/>
        <n v="0.74070252682926829" u="1"/>
        <n v="0.90821692725263159" u="1"/>
        <n v="0.71173619512195119" u="1"/>
        <n v="0.58733333333333337" u="1"/>
        <n v="0.13022712000000075" u="1"/>
        <n v="0.59116641666666658" u="1"/>
        <n v="0.71085486046511637" u="1"/>
        <n v="0.16268575399999999" u="1"/>
        <n v="0.84338959601052643" u="1"/>
        <n v="0.51366437052631586" u="1"/>
        <n v="0.43908575133980565" u="1"/>
        <n v="0.65666666666666662" u="1"/>
        <n v="0.51074603333333324" u="1"/>
        <n v="0.46410464444444449" u="1"/>
        <n v="0.92201127639999991" u="1"/>
        <n v="0.53618128333333337" u="1"/>
        <n v="0.96989930232558141" u="1"/>
        <n v="0.61813647243157888" u="1"/>
        <n v="0.33023058823529416" u="1"/>
        <n v="0.63924887804878039" u="1"/>
        <n v="0.28176052399999973" u="1"/>
        <n v="0.52385459999999995" u="1"/>
        <n v="0.73724212812160694" u="1"/>
        <n v="0.81008720930232558" u="1"/>
        <n v="0.83815053658536598" u="1"/>
        <n v="0.26890391999999802" u="1"/>
        <n v="0.6333333333333333" u="1"/>
        <n v="0.12139443" u="1"/>
        <n v="0.93353534883720934" u="1"/>
        <n v="0.78306692682926826" u="1"/>
        <n v="0.80416543282992792" u="1"/>
        <n v="0.94677408421052645" u="1"/>
        <n v="0.39738494383495138" u="1"/>
        <n v="0.96030966666666673" u="1"/>
        <n v="0.26411974999999804" u="1"/>
        <n v="0.67822633170731716" u="1"/>
        <n v="0.26411974999999821" u="1"/>
        <n v="0.8706666666666667" u="1"/>
        <n v="0.97755819999999993" u="1"/>
        <n v="0.87108873753824889" u="1"/>
        <n v="0.88001006315789465" u="1"/>
        <n v="0.3664049529999997" u="1"/>
        <n v="0.9083080555555556" u="1"/>
        <n v="7.9574139999999044E-2" u="1"/>
        <n v="0.4133521399999987" u="1"/>
        <n v="0.90922406315789472" u="1"/>
        <n v="0.8147270753133945" u="1"/>
        <n v="0.49399999999999999" u="1"/>
        <n v="0.34936800048543692" u="1"/>
        <n v="0.86704175303523834" u="1"/>
        <n v="0.88828300000000004" u="1"/>
        <n v="0.90050340538939888" u="1"/>
        <n v="0.72533333333333339" u="1"/>
        <n v="0.61514069767441859" u="1"/>
        <n v="0.95133113953488369" u="1"/>
        <n v="0.98424386666666663" u="1"/>
        <n v="0.60179558139534883" u="1"/>
        <n v="0.79466666666666663" u="1"/>
        <n v="0.66359528265263146" u="1"/>
        <n v="0.7230937500000002" u="1"/>
        <n v="0.38666666666666666" u="1"/>
        <n v="0.28250416999999806" u="1"/>
        <n v="0.70199999999999996" u="1"/>
        <n v="0.88906737566315808" u="1"/>
        <n v="0.50964278082051262" u="1"/>
        <n v="0.86299476853222779" u="1"/>
        <n v="0.33249858823529727" u="1"/>
        <n v="0.42133333333333334" u="1"/>
        <n v="0.95539693333333342" u="1"/>
        <n v="0.89645642088638833" u="1"/>
        <n v="0.95703607586315798" u="1"/>
        <n v="0.95748139534883725" u="1"/>
        <n v="0.92991807324054876" u="1"/>
        <n v="0.96117395348837209" u="1"/>
        <n v="0.57999999999999996" u="1"/>
        <n v="0.15096970588235295" u="1"/>
        <n v="0.47625443885128194" u="1"/>
        <n v="0.11413250000000005" u="1"/>
        <n v="0.71147837209302323" u="1"/>
        <n v="0.17311288235294162" u="1"/>
        <n v="0.9117814666666666" u="1"/>
        <n v="4.0666666666666663E-2" u="1"/>
        <n v="0.37641400199999803" u="1"/>
        <n v="0.314" u="1"/>
        <n v="0.616504756631579" u="1"/>
        <n v="0.6771547317073171" u="1"/>
        <n v="0.92862023255813952" u="1"/>
        <n v="0.56715207810526336" u="1"/>
        <n v="0.81690116279069769" u="1"/>
        <n v="0.75994733888888921" u="1"/>
        <n v="0.54862803165263174" u="1"/>
        <n v="0.16711311764705883" u="1"/>
        <n v="0.83891101463414641" u="1"/>
        <n v="0.88116331707317064" u="1"/>
        <n v="0.880533488372093" u="1"/>
        <n v="0.83120292115789463" u="1"/>
        <n v="0.46733333333333332" u="1"/>
        <n v="0.71276280722534791" u="1"/>
        <n v="0.56098257777777782" u="1"/>
        <n v="0.11531106200000033" u="1"/>
        <n v="0.90297107886684436" u="1"/>
        <n v="0.10076864000000021" u="1"/>
        <n v="0.60266666666666668" u="1"/>
        <n v="0.84905266666666646" u="1"/>
        <n v="0.84479790697674417" u="1"/>
        <n v="0.98163534883720938" u="1"/>
        <n v="0.88168008421052624" u="1"/>
        <n v="0.55771052941176469" u="1"/>
        <n v="0.64249348837209308" u="1"/>
        <n v="0.17673403000000001" u="1"/>
        <n v="0.27600000000000002" u="1"/>
        <n v="0.57920874155789481" u="1"/>
        <n v="0.61786906976744183" u="1"/>
        <n v="0.81799627906976746" u="1"/>
        <n v="0.9177771197315171" u="1"/>
        <n v="0.9933280000000001" u="1"/>
        <n v="0.1365133669999995" u="1"/>
        <n v="0.16524488235294116" u="1"/>
        <n v="0.59927269444444442" u="1"/>
        <n v="0.192" u="1"/>
        <n v="0.88318452682926818" u="1"/>
        <n v="0.6559775000000001" u="1"/>
        <n v="0.6669627874839601" u="1"/>
        <n v="0.11272644000000012" u="1"/>
        <n v="0.70239882926829267" u="1"/>
        <n v="0.87403558139534887" u="1"/>
        <n v="0.37529137330097079" u="1"/>
        <n v="0.90606773333333335" u="1"/>
        <n v="0.20933333333333334" u="1"/>
        <n v="0.36125965399029131" u="1"/>
        <n v="0.87834412631578918" u="1"/>
        <n v="0.19792388235294117" u="1"/>
        <n v="0.99600317222222234" u="1"/>
        <n v="0.69466666666666665" u="1"/>
        <n v="0.11373479999999994" u="1"/>
        <n v="0.91373013522850655" u="1"/>
        <n v="0.75955972747368417" u="1"/>
        <n v="0.11066666666666666" u="1"/>
        <n v="0.83037069767441862" u="1"/>
        <n v="0.96531140000000004" u="1"/>
        <n v="0.52950417368421054" u="1"/>
        <n v="0.73065160975609755" u="1"/>
        <n v="0.85736847300365215" u="1"/>
        <n v="0.87197709999012929" u="1"/>
        <n v="0.7982644440842106" u="1"/>
        <n v="0.8908301253578127" u="1"/>
        <n v="0.47017470588236987" u="1"/>
        <n v="0.90543875234428983" u="1"/>
        <n v="0.8956007707317073" u="1"/>
        <n v="0.44066666666666665" u="1"/>
        <n v="0.52866186111111102" u="1"/>
        <n v="0.39704189174757293" u="1"/>
        <n v="0.82356372093023256" u="1"/>
        <n v="0.71002253528421055" u="1"/>
        <n v="0.54933333333333334" u="1"/>
        <n v="0.81102139534883722" u="1"/>
        <n v="0.46865256338461542" u="1"/>
        <n v="0.4945762735384614" u="1"/>
        <n v="0.1814775294117647" u="1"/>
        <n v="0.58537497222222235" u="1"/>
        <n v="0.69789902439024387" u="1"/>
        <n v="0.6186666666666667" u="1"/>
        <n v="0.85555651162790702" u="1"/>
        <n v="0.60862788372093024" u="1"/>
        <n v="0.78666666666666663" u="1"/>
        <n v="0.90139176784127928" u="1"/>
        <n v="0.58325232315789466" u="1"/>
        <n v="0.5793307151578948" u="1"/>
        <n v="0.95039306666666667" u="1"/>
        <n v="0.36799999999999999" u="1"/>
        <n v="0.87221254736842069" u="1"/>
        <n v="0.53060345555555566" u="1"/>
        <n v="0.34159682572815542" u="1"/>
        <n v="0.66466666666666663" u="1"/>
        <n v="0.193262352941176" u="1"/>
        <n v="0.99585436842105279" u="1"/>
        <n v="0.10261988235294139" u="1"/>
        <n v="0.55731296666666663" u="1"/>
        <n v="0.53209332777777796" u="1"/>
        <n v="0.88273615635179148" u="1"/>
        <n v="0.29553417647058922" u="1"/>
        <n v="0.39805144514563101" u="1"/>
        <n v="0.78564701463414632" u="1"/>
        <n v="0.77405981640509325" u="1"/>
        <n v="0.90200000000000002" u="1"/>
        <n v="0.85292993888888891" u="1"/>
        <n v="0.23799999999999999" u="1"/>
        <n v="0.55639341666666653" u="1"/>
        <n v="0.65077484947191788" u="1"/>
        <n v="0.95903933333333335" u="1"/>
        <n v="0.104" u="1"/>
        <n v="0.71066666666666667" u="1"/>
        <n v="0.62538670555555576" u="1"/>
        <n v="0.61848608210526312" u="1"/>
        <n v="0.95993069767441863" u="1"/>
        <n v="0.38710018650485445" u="1"/>
        <n v="0.5756775444444443" u="1"/>
        <n v="0.77928096736842134" u="1"/>
        <n v="0.41954326085436894" u="1"/>
        <n v="0.76459517919999986" u="1"/>
        <n v="0.87866666666666671" u="1"/>
        <n v="0.93246537768421045" u="1"/>
        <n v="0.85353206976744189" u="1"/>
        <n v="0.99580093023255822" u="1"/>
        <n v="0.5612029932631577" u="1"/>
        <n v="0.93072466666666676" u="1"/>
        <n v="0.63744008780487804" u="1"/>
        <n v="0.86087520000000006" u="1"/>
        <n v="0.94278718604651157" u="1"/>
        <n v="0.66838116097560973" u="1"/>
        <n v="0.19667541176470629" u="1"/>
        <n v="0.66532395348837214" u="1"/>
        <n v="0.9828087333333333" u="1"/>
        <n v="0.25411332999999986" u="1"/>
        <n v="0.41399999999999998" u="1"/>
        <n v="0.6759451189418616" u="1"/>
        <n v="0.90820773333333338" u="1"/>
        <n v="0.75666666666666671" u="1"/>
        <n v="0.19410549000000074" u="1"/>
        <n v="0.498" u="1"/>
        <n v="8.1290639999998901E-2" u="1"/>
        <n v="0.87384804408421046" u="1"/>
        <n v="0.75238145365853648" u="1"/>
        <n v="8.1290639999998984E-2" u="1"/>
        <n v="8.5870999999997963E-2" u="1"/>
        <n v="8.1290639999998998E-2" u="1"/>
        <n v="0.52955097222222214" u="1"/>
        <n v="0.64650209302325579" u="1"/>
        <n v="0.64621065473684214" u="1"/>
        <n v="0.46633546111111113" u="1"/>
        <n v="0.85419930232558139" u="1"/>
        <n v="0.90385944131872475" u="1"/>
        <n v="0.89188704016842113" u="1"/>
        <n v="0.52785677178947377" u="1"/>
        <n v="0.71008906341463418" u="1"/>
        <n v="0.94156549205409146" u="1"/>
        <n v="0.28448611799999862" u="1"/>
        <n v="0.39924244300970874" u="1"/>
        <n v="0.88173429280000004" u="1"/>
        <n v="0.78812877073170728" u="1"/>
        <n v="0.80266666666666664" u="1"/>
        <n v="0.84749777909387025" u="1"/>
        <n v="0.13567812999999998" u="1"/>
        <n v="0.52508627906976746" u="1"/>
        <n v="0.85174217747507652" u="1"/>
        <n v="0.54200000000000004" u="1"/>
        <n v="0.82363209756097555" u="1"/>
        <n v="0.91087325581395351" u="1"/>
        <n v="0.85127604651162792" u="1"/>
        <n v="0.86391930232558145" u="1"/>
        <n v="0.61133333333333328" u="1"/>
        <n v="0.55749975637894766" u="1"/>
        <n v="0.80321092222222212" u="1"/>
        <n v="0.9609637578947372" u="1"/>
        <n v="0.57566611111111099" u="1"/>
        <n v="0.77933333333333332" u="1"/>
        <n v="0.46" u="1"/>
        <n v="0.9175007833333334" u="1"/>
        <n v="0.58799999999999997" u="1"/>
        <n v="0.51656533888888878" u="1"/>
        <n v="0.99534826666666665" u="1"/>
        <n v="0.93532893333333333" u="1"/>
        <n v="0.18190449999999775" u="1"/>
        <n v="0.39458241176470593" u="1"/>
        <n v="0.92771232195121944" u="1"/>
        <n v="0.66352325581395355" u="1"/>
        <n v="0.13064720000000066" u="1"/>
        <n v="0.90407320000000002" u="1"/>
        <n v="0.80811375609756109" u="1"/>
        <n v="0.42696153378640783" u="1"/>
        <n v="0.82055078472016585" u="1"/>
        <n v="0.35266666666666668" u="1"/>
        <n v="0.98154180238870792" u="1"/>
        <n v="0.89466666666666672" u="1"/>
        <n v="0.56480418888888884" u="1"/>
        <n v="0.48554365425263157" u="1"/>
        <n v="0.72970311219512185" u="1"/>
        <n v="0.25695011764706677" u="1"/>
        <n v="0.89240701111111098" u="1"/>
        <n v="0.60608018536585362" u="1"/>
        <n v="0.64734635121951212" u="1"/>
        <n v="0.74195150243902452" u="1"/>
        <n v="0.85864579069767444" u="1"/>
        <n v="0.15116576470588236" u="1"/>
        <n v="0.51998156030769216" u="1"/>
        <n v="0.90390925853658544" u="1"/>
        <n v="0.8165038002171553" u="1"/>
        <n v="9.889973999999993E-2" u="1"/>
        <n v="0.67211602325581399" u="1"/>
        <n v="0.58021772547368433" u="1"/>
        <n v="0.63928695348837206" u="1"/>
        <n v="0.92808743333333243" u="1"/>
        <n v="0.854209850952522" u="1"/>
        <n v="0.86881847793899913" u="1"/>
        <n v="0.19743352941176504" u="1"/>
        <n v="0.28000000000000003" u="1"/>
        <n v="0.65623828333333334" u="1"/>
        <n v="0.18141217647058822" u="1"/>
        <n v="0.80944920000000009" u="1"/>
        <n v="0.88388798926315781" u="1"/>
        <n v="0.36399999999999999" u="1"/>
        <n v="0.54678913888888891" u="1"/>
        <n v="0.45620756231578935" u="1"/>
        <n v="0.71769441860465111" u="1"/>
        <n v="0.78917053658536584" u="1"/>
        <n v="0.81090575609756099" u="1"/>
        <n v="0.84280526829268299" u="1"/>
        <n v="0.7364649756097561" u="1"/>
        <n v="0.95391144390243887" u="1"/>
        <n v="0.75648021463414628" u="1"/>
        <n v="0.79406532222222204" u="1"/>
        <n v="0.39866666666666667" u="1"/>
        <n v="0.3725429499999981" u="1"/>
        <n v="0.89268589036842105" u="1"/>
        <n v="0.16933333333333334" u="1"/>
        <n v="0.75628673170731719" u="1"/>
        <n v="0.67312581395348836" u="1"/>
        <n v="0.98760493333333332" u="1"/>
        <n v="0.88362451880367188" u="1"/>
        <n v="0.9556452527777769" u="1"/>
        <n v="0.93260571388888824" u="1"/>
        <n v="0.21378133999999982" u="1"/>
        <n v="0.69521372093023248" u="1"/>
        <n v="0.68962047804878057" u="1"/>
        <n v="0.97379311578947358" u="1"/>
        <n v="0.21993024999999833" u="1"/>
        <n v="0.60399999999999998" u="1"/>
        <n v="0.18031799300000123" u="1"/>
        <n v="0.61849981852631564" u="1"/>
        <n v="0.21933402941176761" u="1"/>
        <n v="0.27636829411764707" u="1"/>
        <n v="0.97165463055555568" u="1"/>
        <n v="0.64213708333333352" u="1"/>
        <n v="0.80255814634146339" u="1"/>
        <n v="0.16382167647058438" u="1"/>
        <n v="0.93281922777777782" u="1"/>
        <n v="0.87533313591945516" u="1"/>
        <n v="0.88826488372093027" u="1"/>
        <n v="0.66970369767441862" u="1"/>
        <n v="0.41" u="1"/>
        <n v="0.29390344799999962" u="1"/>
        <n v="0.4927757111111114" u="1"/>
        <n v="0.5441159888888889" u="1"/>
        <n v="0.38712350761165065" u="1"/>
        <n v="0.15767094600000001" u="1"/>
        <n v="0.19301399999999996" u="1"/>
        <n v="0.9465008390089823" u="1"/>
        <n v="0.78762466944444476" u="1"/>
        <n v="0.9653538643766657" u="1"/>
        <n v="0.75071823414634131" u="1"/>
        <n v="0.97996249136314284" u="1"/>
        <n v="0.94224799999999986" u="1"/>
        <n v="0.83782449906228407" u="1"/>
        <n v="0.4952452088820512" u="1"/>
        <n v="0.55733333333333335" u="1"/>
        <n v="0.82141464105263162" u="1"/>
        <n v="0.59774399873684214" u="1"/>
        <n v="0.10797575399999984" u="1"/>
        <n v="0.90474780377060504" u="1"/>
        <n v="0.36474811764706333" u="1"/>
        <n v="0.50443297777777785" u="1"/>
        <n v="0.85923036895789495" u="1"/>
        <n v="0.99258232558139536" u="1"/>
        <n v="0.84458113888888897" u="1"/>
        <n v="0.95706248149244888" u="1"/>
        <n v="0.56812937777777761" u="1"/>
        <n v="0.61932093023255808" u="1"/>
        <n v="0.74891843902439026" u="1"/>
        <n v="0.92381581395348833" u="1"/>
        <n v="0.86399999999999999" u="1"/>
        <n v="0.83377751455927351" u="1"/>
        <n v="0.82792531111111101" u="1"/>
        <n v="0.13866666666666666" u="1"/>
        <n v="0.71464213658536591" u="1"/>
        <n v="0.79788345461052634" u="1"/>
        <n v="0.64030146341463412" u="1"/>
        <n v="0.88609219228111735" u="1"/>
        <n v="0.90070081926759449" u="1"/>
        <n v="0.14430018399999939" u="1"/>
        <n v="0.45600000000000002" u="1"/>
        <n v="0.14430018399999953" u="1"/>
        <n v="0.86563091707317052" u="1"/>
        <n v="0.91955384463527789" u="1"/>
        <n v="0.74199999999999999" u="1"/>
        <n v="0.49066666666666664" u="1"/>
        <n v="0.87655930232558132" u="1"/>
        <n v="0.38098686399999976" u="1"/>
        <n v="0.23159541176470588" u="1"/>
        <n v="0.82973053005626296" u="1"/>
        <n v="0.86195165000000007" u="1"/>
        <n v="0.62691418604651172" u="1"/>
        <n v="0.8820452077781068" u="1"/>
        <n v="0.22792493500000027" u="1"/>
        <n v="0.40510539233009724" u="1"/>
        <n v="0.89665383476458393" u="1"/>
        <n v="0.75451584246372516" u="1"/>
        <n v="0.33732348699999876" u="1"/>
        <n v="0.27991023529411763" u="1"/>
        <n v="0.29933333333333334" u="1"/>
        <n v="0.90957348837209306" u="1"/>
        <n v="0.40417792475728154" u="1"/>
        <n v="0.52733333333333332" u="1"/>
        <n v="0.13312811764705881" u="1"/>
        <n v="0.1870673823529399" u="1"/>
        <n v="0.65008390089823309" u="1"/>
        <n v="0.79463393023255813" u="1"/>
        <n v="0.64111270588239655" u="1"/>
        <n v="0.64207790329473702" u="1"/>
        <n v="0.74027322869473688" u="1"/>
        <n v="0.87375382489389009" u="1"/>
        <n v="0.73161583259303131" u="1"/>
        <n v="0.26967367499999839" u="1"/>
        <n v="0.30154387000000005" u="1"/>
        <n v="0.8880982666666668" u="1"/>
        <n v="0.81218432777777771" u="1"/>
        <n v="0.92606850261573392" u="1"/>
        <n v="0.38234664871844665" u="1"/>
        <n v="0.82351316097560967" u="1"/>
        <n v="0.18002588235293948" u="1"/>
        <n v="0.90317769661052638" u="1"/>
        <n v="0.57333333333333336" u="1"/>
        <n v="0.30909813953488374" u="1"/>
        <n v="0.96022095555555564" u="1"/>
        <n v="0.65152209302325581" u="1"/>
        <n v="0.48887909990769229" u="1"/>
        <n v="0.31066666666666665" u="1"/>
        <n v="0.90316849274503996" u="1"/>
        <n v="0.90741289112624612" u="1"/>
        <n v="0.69431834883720933" u="1"/>
        <n v="0.89444125853658518" u="1"/>
        <n v="0.83576881395348834" u="1"/>
        <n v="0.16733333333333333" u="1"/>
        <n v="0.59884005882356228" u="1"/>
        <n v="0.88651256111111154" u="1"/>
        <n v="0.2142013399999998" u="1"/>
        <n v="0.50999811666666672" u="1"/>
        <n v="0.29882061699999984" u="1"/>
        <n v="0.86299892682926826" u="1"/>
        <n v="0.23289613199999995" u="1"/>
        <n v="0.95921560000000006" u="1"/>
        <n v="0.94684119999999994" u="1"/>
        <n v="0.54133308634871791" u="1"/>
        <n v="0.22251199999999691" u="1"/>
        <n v="0.81383744186046514" u="1"/>
        <n v="0.88396790697674421" u="1"/>
        <n v="0.89912150824202941" u="1"/>
        <n v="0.98640799866315787" u="1"/>
        <n v="0.83518478888888892" u="1"/>
        <n v="0.93258316059618995" u="1"/>
        <n v="0.93682755897739611" u="1"/>
        <n v="0.79468956667653734" u="1"/>
        <n v="0.95143618596387325" u="1"/>
        <n v="0.1459798469999993" u="1"/>
        <n v="0.27266666666666667" u="1"/>
        <n v="0.916449511627907" u="1"/>
        <n v="0.86896077777777792" u="1"/>
        <n v="0.93362674418604652" u="1"/>
        <n v="0.94670899512195128" u="1"/>
        <n v="0.71815800000007091" u="1"/>
        <n v="0.50443187222222197" u="1"/>
        <n v="0.83952860000000018" u="1"/>
        <n v="4.5999999999999999E-2" u="1"/>
        <n v="0.94530346666666665" u="1"/>
        <n v="0.71312808780487791" u="1"/>
        <n v="0.11534554100000025" u="1"/>
        <n v="0.35666666666666669" u="1"/>
        <n v="8.6211639999999451E-2" u="1"/>
        <n v="0.38259625999999991" u="1"/>
        <n v="0.83639810000000014" u="1"/>
        <n v="0.89507452373901886" u="1"/>
        <n v="0.71924023255813962" u="1"/>
        <n v="0.65171941463414629" u="1"/>
        <n v="0.61336546341463416" u="1"/>
        <n v="0.61055508888888887" u="1"/>
        <n v="0.9285361760931794" u="1"/>
        <n v="0.71133333333333337" u="1"/>
        <n v="0.96485160465116271" u="1"/>
        <n v="0.98085085381502324" u="1"/>
        <n v="0.68906672093023258" u="1"/>
        <n v="0.81923128888888908" u="1"/>
        <n v="0.86904674418604644" u="1"/>
        <n v="0.98299820000000004" u="1"/>
        <n v="0.74994600000008249" u="1"/>
        <n v="0.96398160465116278" u="1"/>
        <n v="0.50938775620512822" u="1"/>
        <n v="0.11859935294117294" u="1"/>
        <n v="0.11859935294117301" u="1"/>
        <n v="0.17549185" u="1"/>
        <n v="0.11859935294117314" u="1"/>
        <n v="0.90563616622248544" u="1"/>
        <n v="0.18513091099999934" u="1"/>
        <n v="0.83020834883720929" u="1"/>
        <n v="0.92448919159016874" u="1"/>
        <n v="0.28399999999999997" u="1"/>
        <n v="0.7573333333333333" u="1"/>
        <n v="0.31866666666666665" u="1"/>
        <n v="0.85295221111111141" u="1"/>
        <n v="0.96347078333333291" u="1"/>
        <n v="0.74290023255813953" u="1"/>
        <n v="0.83466587701115391" u="1"/>
        <n v="0.154" u="1"/>
        <n v="0.29289476999999986" u="1"/>
        <n v="0.51556416694736851" u="1"/>
        <n v="0.93646978536585368" u="1"/>
        <n v="0.57837686787368403" u="1"/>
        <n v="0.86812752936531434" u="1"/>
        <n v="0.63737184526315782" u="1"/>
        <n v="0.729466023255814" u="1"/>
        <n v="0.27528348699999888" u="1"/>
        <n v="0.52039581111111122" u="1"/>
        <n v="0.79508702439024392" u="1"/>
        <n v="0.90158918171947489" u="1"/>
        <n v="0.63616622248544075" u="1"/>
        <n v="0.33339584514563109" u="1"/>
        <n v="0.53120682352941173" u="1"/>
        <n v="0.13190929411764296" u="1"/>
        <n v="0.1974581764705883" u="1"/>
        <n v="0.97275688480900202" u="1"/>
        <n v="0.99538208333332678" u="1"/>
        <n v="0.80277695684210548" u="1"/>
        <n v="0.41086265126213589" u="1"/>
        <n v="0.8657198581052632" u="1"/>
        <n v="0.94785133333333338" u="1"/>
        <n v="0.14849410000000002" u="1"/>
        <n v="0.22013024999999828" u="1"/>
        <n v="0.74079557792912842" u="1"/>
        <n v="0.84430870000000025" u="1"/>
        <n v="0.22013024999999836" u="1"/>
        <n v="0.76038955121951235" u="1"/>
        <n v="0.80902953488372098" u="1"/>
        <n v="0.86070730731707301" u="1"/>
        <n v="0.36466666666666664" u="1"/>
        <n v="0.55478432222222218" u="1"/>
        <n v="8.5975588235292083E-2" u="1"/>
        <n v="0.42260621321025627" u="1"/>
        <n v="0.55363339444444459" u="1"/>
        <n v="0.99486910243902427" u="1"/>
        <n v="0.63854462790697675" u="1"/>
        <n v="0.40736817310679613" u="1"/>
        <n v="0.96147893333333334" u="1"/>
        <n v="0.86093795000000006" u="1"/>
        <n v="0.16375382352940773" u="1"/>
        <n v="0.85180487804878047" u="1"/>
        <n v="0.87888658572697664" u="1"/>
        <n v="0.57232529444444435" u="1"/>
        <n v="0.48333333333333334" u="1"/>
        <n v="0.78020174634146333" u="1"/>
        <n v="0.52244666111111104" u="1"/>
        <n v="0.91234823808113708" u="1"/>
        <n v="0.99602959999999996" u="1"/>
        <n v="0.91615372777777782" u="1"/>
        <n v="0.96233679999999999" u="1"/>
        <n v="0.95182720930232556" u="1"/>
        <n v="9.6695719999999999E-2" u="1"/>
        <n v="9.1812979999999836E-2" u="1"/>
        <n v="0.82252492350212225" u="1"/>
        <n v="0.70399999999999996" u="1"/>
        <n v="0.68038693120126348" u="1"/>
        <n v="0.55092660555555539" u="1"/>
        <n v="0.99543159999999997" u="1"/>
        <n v="0.14066666666666666" u="1"/>
        <n v="0.376" u="1"/>
        <n v="0.54217299444444433" u="1"/>
        <n v="0.64567765116279074" u="1"/>
        <n v="0.97402537634736863" u="1"/>
        <n v="0.89297919999999997" u="1"/>
        <n v="0.85050697674418596" u="1"/>
        <n v="0.78406906976744184" u="1"/>
        <n v="6.4000000000000001E-2" u="1"/>
        <n v="0.94356519999999999" u="1"/>
        <n v="0.79937511111111093" u="1"/>
        <n v="0.20343414800000079" u="1"/>
        <n v="8.3596890999999257E-2" u="1"/>
        <n v="0.93718160000000006" u="1"/>
        <n v="0.524095561111111" u="1"/>
        <n v="0.95592976744186042" u="1"/>
        <n v="0.90591790697674424" u="1"/>
        <n v="0.94116959999999983" u="1"/>
        <n v="0.9188628960615931" u="1"/>
        <n v="0.72666666666666668" u="1"/>
        <n v="0.95878666666666124" u="1"/>
        <n v="0.81018655611489487" u="1"/>
        <n v="0.79083390555555533" u="1"/>
        <n v="0.84096806210526309" u="1"/>
        <n v="0.62244263999999982" u="1"/>
        <n v="0.92289393023255817" u="1"/>
        <n v="0.53533333333333333" u="1"/>
        <n v="0.94720260000000001" u="1"/>
        <n v="0.33800000000000002" u="1"/>
        <n v="0.77551108888888887" u="1"/>
        <n v="0.88486750526315783" u="1"/>
        <n v="0.87710986082321585" u="1"/>
        <n v="0.87314537777777779" u="1"/>
        <n v="0.75772708333333338" u="1"/>
        <n v="0.22816186599999824" u="1"/>
        <n v="0.28957855699999863" u="1"/>
        <n v="0.96689219512195113" u="1"/>
        <n v="0.74969764705890707" u="1"/>
        <n v="0.45666666666666667" u="1"/>
        <n v="0.76903023255813951" u="1"/>
        <n v="0.53573539444444451" u="1"/>
        <n v="0.82860106473684214" u="1"/>
        <n v="0.67742893333333332" u="1"/>
        <n v="0.59139862439024382" u="1"/>
        <n v="0.22736921200000026" u="1"/>
        <n v="0.33234509456310685" u="1"/>
        <n v="0.56722620652631572" u="1"/>
        <n v="0.65066666666666662" u="1"/>
        <n v="0.97284999999999999" u="1"/>
        <n v="0.29877886999999986" u="1"/>
        <n v="0.93084678333333348" u="1"/>
        <n v="0.72354111764712814" u="1"/>
        <n v="0.31466666666666665" u="1"/>
        <n v="0.81866666666666665" u="1"/>
        <n v="0.38691435294117649" u="1"/>
        <n v="0.77878035294126724" u="1"/>
        <n v="0.14466666666666667" u="1"/>
        <n v="0.76761892682926824" u="1"/>
        <n v="0.13171582352941216" u="1"/>
        <n v="0.85440726483071761" u="1"/>
        <n v="0.20054017999999962" u="1"/>
        <n v="0.86901589181719474" u="1"/>
        <n v="0.98160346666666665" u="1"/>
        <n v="0.20054017999999968" u="1"/>
        <n v="0.28070486000000011" u="1"/>
        <n v="0.68368548333333334" u="1"/>
        <n v="0.97720653333333329" u="1"/>
        <n v="0.87876330555555571" u="1"/>
        <n v="0.89355506666666651" u="1"/>
        <n v="0.90247754417135528" u="1"/>
        <n v="0.95803360555555461" u="1"/>
        <n v="0.86688617777777788" u="1"/>
        <n v="0.76033955187049651" u="1"/>
        <n v="0.90669079999999991" u="1"/>
        <n v="0.45992942547368426" u="1"/>
        <n v="0.75376175609756102" u="1"/>
        <n v="0.57428973010526319" u="1"/>
        <n v="0.50343024325263164" u="1"/>
        <n v="0.90947597894736842" u="1"/>
        <n v="0.58729167222222234" u="1"/>
        <n v="0.67333333333333334" u="1"/>
        <n v="0.84611588194650089" u="1"/>
        <n v="0.82752557894736822" u="1"/>
        <n v="0.88619906976744189" u="1"/>
        <n v="0.42022906912621355" u="1"/>
        <n v="0.9918950439024391" u="1"/>
        <n v="0.70866788235300848" u="1"/>
        <n v="0.71355369767441867" u="1"/>
        <n v="0.89843055966834473" u="1"/>
        <n v="0.11666666666666667" u="1"/>
        <n v="0.97295744186046507" u="1"/>
        <n v="0.48846523251282037" u="1"/>
        <n v="0.91066666666666662" u="1"/>
        <n v="0.40834660692232999" u="1"/>
        <n v="0.96043773333333338" u="1"/>
        <n v="0.39533333333333331" u="1"/>
        <n v="0.88357108333333223" u="1"/>
        <n v="0.82124526829268307" u="1"/>
        <n v="6.133333333333333E-2" u="1"/>
        <n v="0.93402702222222167" u="1"/>
        <n v="0.83885144999999972" u="1"/>
        <n v="0.47933333333333333" u="1"/>
        <n v="0.38597800728155335" u="1"/>
        <n v="0.52800000000000002" u="1"/>
        <n v="0.7737664827368419" u="1"/>
        <n v="0.7522455828644754" u="1"/>
        <n v="0.96095235915789434" u="1"/>
        <n v="0.91323660053301747" u="1"/>
        <n v="0.84734906976744184" u="1"/>
        <n v="0.89263579512195124" u="1"/>
        <n v="0.94669825288717802" u="1"/>
        <n v="0.42279603747572825" u="1"/>
        <n v="0.51987997222222215" u="1"/>
        <n v="0.96130687987365515" u="1"/>
        <n v="0.97501720930232549" u="1"/>
        <n v="0.82283262500000021" u="1"/>
        <n v="0.65394991111111123" u="1"/>
        <n v="0.50466666666666671" u="1"/>
        <n v="0.85701229444444438" u="1"/>
        <n v="0.82860818536585357" u="1"/>
        <n v="0.97409224444444431" u="1"/>
        <n v="0.90494521764880076" u="1"/>
        <n v="0.29275401399999984" u="1"/>
        <n v="0.99344627906976757" u="1"/>
        <n v="0.68560807222222231" u="1"/>
        <n v="0.64333333333333331" u="1"/>
        <n v="0.94877213333333321" u="1"/>
        <n v="0.80051327608330869" u="1"/>
        <n v="0.68494164878048791" u="1"/>
        <n v="0.55776751273684211" u="1"/>
        <n v="0.88156911442105257" u="1"/>
        <n v="0.67095325853658527" u="1"/>
        <n v="0.86596434444444437" u="1"/>
        <n v="0.88066666666666671" u="1"/>
        <n v="0.6035722829268293" u="1"/>
        <n v="0.65062887777777789" u="1"/>
        <n v="0.16406185294117212" u="1"/>
        <n v="0.62" u="1"/>
        <n v="0.90089823314579009" u="1"/>
        <n v="0.83182811627906983" u="1"/>
        <n v="0.10133333333333333" u="1"/>
        <n v="0.74588847804878033" u="1"/>
        <n v="0.7690454634146342" u="1"/>
        <n v="0.68103411764711785" u="1"/>
        <n v="0.68933333333333335" u="1"/>
        <n v="0.93435988549995064" u="1"/>
        <n v="0.57704463629473679" u="1"/>
        <n v="0.79646629158029814" u="1"/>
        <n v="0.84343480000000026" u="1"/>
        <n v="0.38437561601941744" u="1"/>
        <n v="0.85733333333333328" u="1"/>
        <n v="0.89870454444444448" u="1"/>
        <n v="0.82992794393445857" u="1"/>
        <n v="0.59666666666666668" u="1"/>
        <n v="0.99537266666666668" u="1"/>
        <n v="0.86106399999999994" u="1"/>
        <n v="0.36866666666666664" u="1"/>
        <n v="0.725725951219512" u="1"/>
        <n v="0.8206053555555558" u="1"/>
        <n v="0.9427558139534884" u="1"/>
        <n v="0.87799822327509625" u="1"/>
        <n v="0.52753239444444444" u="1"/>
        <n v="0.81889767222222243" u="1"/>
        <n v="0.89685124864277954" u="1"/>
        <n v="0.45266666666666666" u="1"/>
        <n v="0.91570427401046295" u="1"/>
        <n v="0.79179882926829293" u="1"/>
        <n v="0.73533333333333328" u="1"/>
        <n v="0.77356628170960418" u="1"/>
        <n v="0.99469279069767447" u="1"/>
        <n v="0.71133790697674426" u="1"/>
        <n v="0.90333333333333332" u="1"/>
        <n v="0.82588095943144801" u="1"/>
        <n v="0.97488386666666649" u="1"/>
        <n v="0.39703522843689315" u="1"/>
        <n v="0.56892312846315785" u="1"/>
        <n v="0.78489741860465112" u="1"/>
        <n v="0.70330770731707326" u="1"/>
        <n v="9.246183899999999E-2" u="1"/>
        <n v="0.50288600851282039" u="1"/>
        <n v="0.56002272222222205" u="1"/>
        <n v="0.75898253488372092" u="1"/>
        <n v="0.80828697674418604" u="1"/>
        <n v="8.844241500000001E-2" u="1"/>
        <n v="0.9023218315789473" u="1"/>
        <n v="0.73181324647122692" u="1"/>
        <n v="0.79545255813953486" u="1"/>
        <n v="0.66317767441860465" u="1"/>
        <n v="0.93451587222222221" u="1"/>
        <n v="0.67417116279069766" u="1"/>
        <n v="0.69945767441860462" u="1"/>
        <n v="0.9116572895074524" u="1"/>
        <n v="0.52066666666666672" u="1"/>
        <n v="0.39553695624271845" u="1"/>
        <n v="0.14266666666666666" u="1"/>
        <n v="0.29866250699999874" u="1"/>
        <n v="0.86059228292682932" u="1"/>
        <n v="0.54367480392820522" u="1"/>
        <n v="0.76211906976744193" u="1"/>
        <n v="0.41756823339805832" u="1"/>
        <n v="0.41466666666666668" u="1"/>
        <n v="0.855295627282598" u="1"/>
        <n v="0.71315763498173923" u="1"/>
        <n v="0.75800000000000001" u="1"/>
        <n v="0.88875727963675843" u="1"/>
        <n v="0.90761030500444184" u="1"/>
        <n v="0.68893756097560976" u="1"/>
        <n v="0.9939595414634147" u="1"/>
        <n v="0.53459860877894738" u="1"/>
        <n v="0.95723135789473657" u="1"/>
        <n v="0.89164130000000008" u="1"/>
        <n v="0.23666666666666666" u="1"/>
        <n v="0.53942610000000013" u="1"/>
        <n v="0.85050929444444456" u="1"/>
        <n v="0.97091086666666671" u="1"/>
        <n v="0.68859463414634137" u="1"/>
        <n v="0.82644720930232562" u="1"/>
        <n v="0.55276041666666664" u="1"/>
        <n v="0.91300080000000006" u="1"/>
        <n v="0.82122647368421042" u="1"/>
        <n v="0.91362714966315783" u="1"/>
        <n v="0.4903764614736843" u="1"/>
        <n v="0.42292238756923073" u="1"/>
        <n v="0.56396502777777757" u="1"/>
        <n v="0.83689366315789471" u="1"/>
        <n v="0.78066666666666662" u="1"/>
        <n v="0.53991050555555564" u="1"/>
        <n v="0.25881223529412645" u="1"/>
        <n v="0.46066666666666667" u="1"/>
        <n v="0.97958466666666666" u="1"/>
        <n v="0.85202497560975621" u="1"/>
        <n v="0.86181028526305403" u="1"/>
        <n v="0.85" u="1"/>
        <n v="0.71967229296219526" u="1"/>
        <n v="0.87641891224953117" u="1"/>
        <n v="0.95651013333333335" u="1"/>
        <n v="0.93064466666666668" u="1"/>
        <n v="0.71576916097560972" u="1"/>
        <n v="0.45489499999999999" u="1"/>
        <n v="0.8477068166666667" u="1"/>
        <n v="0.41335861281553399" u="1"/>
        <n v="0.89747648837209304" u="1"/>
        <n v="0.92443465116279067" u="1"/>
        <n v="0.89635930232558136" u="1"/>
        <n v="0.83891027539236007" u="1"/>
        <n v="0.62033279069767444" u="1"/>
        <n v="0.17286476470588233" u="1"/>
        <n v="0.12933333333333333" u="1"/>
        <n v="0.35333333333333333" u="1"/>
        <n v="0.85776330076004348" u="1"/>
        <n v="0.54835688235296698" u="1"/>
        <n v="0.87483148970526314" u="1"/>
        <n v="0.89122495311420391" u="1"/>
        <n v="0.32955243799999884" u="1"/>
        <n v="0.42143532155339813" u="1"/>
        <n v="0.72429199024390234" u="1"/>
        <n v="0.91007797848188732" u="1"/>
        <n v="0.92468660546836445" u="1"/>
        <n v="0.25421173529412544" u="1"/>
        <n v="0.80140163853518898" u="1"/>
        <n v="0.89733979512195128" u="1"/>
        <n v="0.44267657142857136" u="1"/>
        <n v="0.15524494899999999" u="1"/>
        <n v="7.9333333333333339E-2" u="1"/>
        <n v="0.85337771705263166" u="1"/>
        <n v="0.78169443902439006" u="1"/>
        <n v="0.19919664999999981" u="1"/>
        <n v="0.37755577587378647" u="1"/>
        <n v="0.51854141176470592" u="1"/>
        <n v="0.87054044186046509" u="1"/>
        <n v="0.19896067000000067" u="1"/>
        <n v="0.66173160465116287" u="1"/>
        <n v="0.9646013961368417" u="1"/>
        <n v="0.28066666666666668" u="1"/>
        <n v="0.66480866666666683" u="1"/>
        <n v="0.79233441860465115" u="1"/>
        <n v="0.90483797073170713" u="1"/>
        <n v="0.99212819512195127" u="1"/>
        <n v="0.31533333333333335" u="1"/>
        <n v="0.55933333333333335" u="1"/>
        <n v="0.2628503099999982" u="1"/>
        <n v="0.30591117000000007" u="1"/>
        <n v="0.76246860465116273" u="1"/>
        <n v="0.7075313394531636" u="1"/>
        <n v="0.84240858139534891" u="1"/>
        <n v="0.23048235294117647" u="1"/>
        <n v="0.8071213953488372" u="1"/>
        <n v="0.82730994146341452" u="1"/>
        <n v="0.434" u="1"/>
        <n v="0.98507359999999999" u="1"/>
        <n v="0.8327" u="1"/>
        <n v="9.9362640000000071E-2" u="1"/>
        <n v="0.9280828277777774" u="1"/>
        <n v="0.53846919073684218" u="1"/>
        <n v="0.79565093023255817" u="1"/>
        <n v="0.1924274100000001" u="1"/>
        <n v="0.68193953488372094" u="1"/>
        <n v="0.1302127058823534" u="1"/>
        <n v="0.86675232558139537" u="1"/>
        <n v="0.7194649939894735" u="1"/>
        <n v="0.94137186046511623" u="1"/>
        <n v="0.96235293333333349" u="1"/>
        <n v="0.60533333333333328" u="1"/>
        <n v="0.76510799024390252" u="1"/>
        <n v="0.84137794886980555" u="1"/>
        <n v="0.92436050061052621" u="1"/>
        <n v="0.89150267222222213" u="1"/>
        <n v="0.29726628999999866" u="1"/>
        <n v="0.86023097423748884" u="1"/>
        <n v="0.17804678200000001" u="1"/>
        <n v="0.17888428200000001" u="1"/>
        <n v="0.89369262659164939" u="1"/>
        <n v="0.32666666666666666" u="1"/>
        <n v="0.5287302792820513" u="1"/>
        <n v="0.51631729999999998" u="1"/>
        <n v="0.91254565195933279" u="1"/>
        <n v="0.92715427894580993" u="1"/>
        <n v="0.84932300000000005" u="1"/>
        <n v="0.58150954421052625" u="1"/>
        <n v="0.94600730431349322" u="1"/>
        <n v="0.80386931201263445" u="1"/>
        <n v="0.58380514652631577" u="1"/>
        <n v="0.44533333333333336" u="1"/>
        <n v="0.93977026666666663" u="1"/>
        <n v="8.6040941176468599E-2" u="1"/>
        <n v="8.5687999999997932E-2" u="1"/>
        <n v="0.37359154999999972" u="1"/>
        <n v="8.5687999999997946E-2" u="1"/>
        <n v="0.37359154999999977" u="1"/>
        <n v="0.37359154999999988" u="1"/>
        <n v="0.80899627906976745" u="1"/>
        <n v="0.48" u="1"/>
        <n v="0.85346234444444447" u="1"/>
        <n v="0.37900907592233007" u="1"/>
        <n v="0.45908214126315788" u="1"/>
        <n v="0.92919346666666669" u="1"/>
        <n v="0.53099220000000014" u="1"/>
        <n v="0.41155105902912625" u="1"/>
        <n v="0.90849866745632213" u="1"/>
        <n v="0.91358883720930228" u="1"/>
        <n v="0.99075306666666674" u="1"/>
        <n v="0.81443095449610103" u="1"/>
        <n v="0.68862459512195118" u="1"/>
        <n v="0.83328397986378444" u="1"/>
        <n v="2.376E-2" u="1"/>
        <n v="0.54447886268717938" u="1"/>
        <n v="0.4798026141052632" u="1"/>
        <n v="0.76807219512195124" u="1"/>
        <n v="0.84641258536585362" u="1"/>
        <n v="0.86533333333333329" u="1"/>
        <n v="0.42709296543689323" u="1"/>
        <n v="0.15746932352940698" u="1"/>
        <n v="0.37266666666666665" u="1"/>
        <n v="0.74346066528476951" u="1"/>
        <n v="0.87797873170731722" u="1"/>
        <n v="0.155670215" u="1"/>
        <n v="0.8584082328421051" u="1"/>
        <n v="0.51511431666666674" u="1"/>
        <n v="0.97674408780487798" u="1"/>
        <n v="0.75539091707317063" u="1"/>
        <n v="0.47647046511627905" u="1"/>
        <n v="0.79351037737894725" u="1"/>
        <n v="0.92213000000000001" u="1"/>
        <n v="0.66520069767441858" u="1"/>
        <n v="0.93737573333333335" u="1"/>
        <n v="0.89879971578947382" u="1"/>
        <n v="0.9087188139534883" u="1"/>
        <n v="0.55200000000000005" u="1"/>
        <n v="0.84544580000000014" u="1"/>
        <n v="0.5667969111111113" u="1"/>
        <n v="0.51788741263157878" u="1"/>
        <n v="0.63458246631578952" u="1"/>
        <n v="0.96741647174736867" u="1"/>
        <n v="0.77174838048780492" u="1"/>
        <n v="0.94392413333333325" u="1"/>
        <n v="0.25849852941177337" u="1"/>
        <n v="0.967328003158622" u="1"/>
        <n v="0.9895288000000001" u="1"/>
        <n v="0.52866666666666662" u="1"/>
        <n v="0.96628479444444448" u="1"/>
        <n v="0.79901932777777795" u="1"/>
        <n v="0.38400000000000001" u="1"/>
        <n v="0.45877315178947364" u="1"/>
        <n v="0.92365923902439007" u="1"/>
        <n v="0.69169486046511619" u="1"/>
        <n v="0.8707580390243902" u="1"/>
        <n v="0.62109413658536583" u="1"/>
        <n v="0.95191626666666673" u="1"/>
        <n v="0.40907026415533976" u="1"/>
        <n v="0.90672194255256144" u="1"/>
        <n v="0.79812720930232561" u="1"/>
        <n v="0.91429116279069778" u="1"/>
        <n v="0.17933333333333334" u="1"/>
        <n v="0.45333333333333331" u="1"/>
        <n v="0.29758306999999962" u="1"/>
        <n v="0.14085247058823558" u="1"/>
        <n v="0.15797069999999991" u="1"/>
        <n v="0.30810069767441861" u="1"/>
        <n v="0.73354882352941175" u="1"/>
        <n v="0.22133333333333333" u="1"/>
        <n v="0.21808278500000008" u="1"/>
        <n v="0.35768869900970884" u="1"/>
        <n v="0.9284879777777777" u="1"/>
        <n v="0.9521611000000002" u="1"/>
        <n v="0.85460467870891321" u="1"/>
        <n v="0.55054362222222208" u="1"/>
        <n v="0.86921330569539035" u="1"/>
        <n v="0.64400000000000002" u="1"/>
        <n v="0.8133292709473684" u="1"/>
        <n v="0.78859913333333331" u="1"/>
        <n v="0.90267495804955089" u="1"/>
        <n v="0.16180891000000083" u="1"/>
        <n v="0.76478136412989828" u="1"/>
        <n v="0.90412142222222258" u="1"/>
        <n v="0.92152798341723419" u="1"/>
        <n v="0.52896163888888903" u="1"/>
        <n v="0.87545790697674419" u="1"/>
        <n v="0.97659017003157911" u="1"/>
        <n v="0.89807550243902456" u="1"/>
        <n v="0.82833581395348843" u="1"/>
        <n v="0.99623428333333319" u="1"/>
        <n v="0.52914530000000015" u="1"/>
        <n v="0.1962479999999982" u="1"/>
        <n v="0.6206666666666667" u="1"/>
        <n v="0.11413231199999946" u="1"/>
        <n v="0.1141323119999995" u="1"/>
        <n v="0.14640768000000043" u="1"/>
        <n v="0.11413231199999954" u="1"/>
        <n v="0.11825952941176135" u="1"/>
        <n v="0.46677648333333321" u="1"/>
        <n v="0.66550380487804872" u="1"/>
        <n v="0.69527697560975599" u="1"/>
        <n v="0.66353579069767443" u="1"/>
        <n v="0.93208962590070077" u="1"/>
        <n v="0.93633402428190704" u="1"/>
        <n v="0.78995163359984211" u="1"/>
        <n v="0.19624800000000001" u="1"/>
        <n v="0.67246974418604655" u="1"/>
        <n v="0.64982581395348837" u="1"/>
        <n v="0.14788426470587715" u="1"/>
        <n v="0.96297397073170754" u="1"/>
        <n v="0.73599999999999999" u="1"/>
        <n v="0.97692599999999996" u="1"/>
        <n v="0.78843414634146336" u="1"/>
        <n v="0.76136000000000004" u="1"/>
        <n v="0.37366284599999849" u="1"/>
        <n v="0.38581525999999805" u="1"/>
        <n v="0.89458098904352978" u="1"/>
        <n v="0.35733333333333334" u="1"/>
        <n v="0.5621926055555555" u="1"/>
        <n v="0.59339372093023257" u="1"/>
        <n v="0.14866666666666667" u="1"/>
        <n v="0.94269057655789468" u="1"/>
        <n v="0.40197757106796123" u="1"/>
        <n v="0.25415944117647843" u="1"/>
        <n v="0.7420274418604651" u="1"/>
        <n v="0.18509226470588053" u="1"/>
        <n v="0.81936630145099199" u="1"/>
        <n v="0.16600000000000001" u="1"/>
        <n v="0.93135487039999998" u="1"/>
        <n v="0.27998906999999978" u="1"/>
        <n v="0.95074934444444426" u="1"/>
        <n v="0.5640095444444444" u="1"/>
        <n v="0.18643138000000126" u="1"/>
        <n v="0.83704871736842101" u="1"/>
        <n v="0.98980572222222063" u="1"/>
        <n v="0.11832488235293773" u="1"/>
        <n v="0.52225814444444441" u="1"/>
        <n v="0.99317116279069773" u="1"/>
        <n v="0.77863325581395348" u="1"/>
        <n v="0.21806700000000001" u="1"/>
        <n v="0.70274400000000004" u="1"/>
        <n v="0.14946778199999999" u="1"/>
        <n v="0.96986926111110938" u="1"/>
        <n v="0.83893812777777776" u="1"/>
        <n v="0.94018353170731683" u="1"/>
        <n v="0.44181028273684203" u="1"/>
        <n v="0.4891311888888889" u="1"/>
        <n v="0.79314435294117647" u="1"/>
        <n v="0.9616538" u="1"/>
        <n v="0.82173720930232552" u="1"/>
        <n v="0.14209522699999952" u="1"/>
        <n v="0.8501437361111106" u="1"/>
        <n v="0.52826397777777756" u="1"/>
        <n v="0.85660906976744178" u="1"/>
        <n v="0.31933333333333336" u="1"/>
        <n v="0.82799999999999996" u="1"/>
        <n v="0.46736852646153848" u="1"/>
        <n v="0.41122001048543688" u="1"/>
        <n v="0.98525369767441862" u="1"/>
        <n v="0.962081362410526" u="1"/>
        <n v="0.54654573333333345" u="1"/>
        <n v="0.2133166499999998" u="1"/>
        <n v="0.71462975609756096" u="1"/>
        <n v="0.90317132222222218" u="1"/>
        <n v="0.438" u="1"/>
        <n v="0.40593921999999993" u="1"/>
        <n v="0.86646305000000001" u="1"/>
        <n v="0.80466666666666664" u="1"/>
        <n v="0.86387651162790691" u="1"/>
        <n v="0.54400000000000004" u="1"/>
        <n v="0.34127100000000204" u="1"/>
        <n v="0.25010818999999995" u="1"/>
        <n v="0.9944354666666666" u="1"/>
        <n v="0.90059999999999996" u="1"/>
        <n v="0.89734653333333336" u="1"/>
        <n v="0.48343625901052617" u="1"/>
        <n v="0.91590168788865856" u="1"/>
        <n v="0.82678695010526304" u="1"/>
        <n v="9.1217079999999728E-2" u="1"/>
        <n v="0.93051031487513569" u="1"/>
        <n v="9.1217079999999798E-2" u="1"/>
        <n v="0.71869043902439023" u="1"/>
        <n v="0.85066666666666668" u="1"/>
        <n v="0.10778276470588263" u="1"/>
        <n v="0.29539403899999978" u="1"/>
        <n v="0.77241356097560976" u="1"/>
        <n v="0.23977417647059415" u="1"/>
        <n v="0.82607837330964362" u="1"/>
        <n v="0.85520653658536583" u="1"/>
        <n v="0.3448412941176473" u="1"/>
        <n v="0.73453666092631575" u="1"/>
        <n v="0.9577411684210525" u="1"/>
        <n v="0.38907763446601945" u="1"/>
        <n v="0.75086368571710593" u="1"/>
        <n v="0.98082359999999991" u="1"/>
        <n v="0.92646333037212514" u="1"/>
        <n v="0.48399999999999999" u="1"/>
        <n v="0.72121999999999997" u="1"/>
        <n v="0.89314790697674418" u="1"/>
        <n v="0.89666666666666661" u="1"/>
        <n v="0.62746945365853668" u="1"/>
        <n v="0.63600000000000001" u="1"/>
        <n v="0.8281697441860465" u="1"/>
        <n v="0.91243248821052625" u="1"/>
        <n v="0.53688892777777775" u="1"/>
        <n v="0.25537974999999813" u="1"/>
        <n v="0.75551395348837214" u="1"/>
        <n v="0.91906906976744185" u="1"/>
        <n v="0.66347903888888893" u="1"/>
        <n v="0.85549304116079361" u="1"/>
        <n v="0.87010166814727075" u="1"/>
        <n v="0.93245733333333336" u="1"/>
        <n v="0.22796674699999811" u="1"/>
        <n v="0.66502953488372096" u="1"/>
        <n v="0.94064627906976739" u="1"/>
        <n v="0.88895469351495415" u="1"/>
        <n v="0.51542318333333348" u="1"/>
        <n v="0.87333333333333329" u="1"/>
        <n v="0.74512156097560955" u="1"/>
        <n v="0.37666666666666665" u="1"/>
        <n v="0.24547941176470589" u="1"/>
        <n v="0.39005674582524275" u="1"/>
        <n v="0.43072016694736831" u="1"/>
        <n v="0.418179687961165" u="1"/>
        <n v="0.7513333333333333" u="1"/>
        <n v="0.59886535609756097" u="1"/>
        <n v="0.82147657894736836" u="1"/>
        <n v="0.12258282199999999" u="1"/>
        <n v="0.55132116111111096" u="1"/>
        <n v="0.64321206976744194" u="1"/>
        <n v="0.74518252682926822" u="1"/>
        <n v="0.20281918199999965" u="1"/>
        <n v="0.67004338589473666" u="1"/>
        <n v="0.76434720930232558" u="1"/>
        <n v="0.93297798835258117" u="1"/>
        <n v="0.62095423414634143" u="1"/>
        <n v="0.89482153055555524" u="1"/>
        <n v="0.27801594799999835" u="1"/>
        <n v="0.84979209302325587" u="1"/>
        <n v="0.34238169299999976" u="1"/>
        <n v="0.86200769914124964" u="1"/>
        <n v="9.0177659999999105E-2" u="1"/>
        <n v="0.53666666666666663" u="1"/>
        <n v="9.017765999999916E-2" u="1"/>
        <n v="0.51676556666666673" u="1"/>
        <n v="0.61061485052631581" u="1"/>
        <n v="0.24116320588235823" u="1"/>
        <n v="0.6426590034736841" u="1"/>
        <n v="0.89748666666666665" u="1"/>
        <n v="0.72815308292682912" u="1"/>
        <n v="0.42266666666666669" u="1"/>
        <n v="0.96452366111111076" u="1"/>
        <n v="0.81631840555555568" u="1"/>
        <n v="0.77400000000000002" u="1"/>
        <n v="0.89042066666666664" u="1"/>
        <n v="0.8300560465116279" u="1"/>
        <n v="0.18133333333333335" u="1"/>
        <n v="0.86830593888888885" u="1"/>
        <n v="0.84333333333333338" u="1"/>
        <n v="0.85796071463823909" u="1"/>
        <n v="0.14342412699999951" u="1"/>
        <n v="0.61949638048780498" u="1"/>
        <n v="0.7894027512195122" u="1"/>
        <n v="9.6666666666666665E-2" u="1"/>
        <n v="0.22646288235294096" u="1"/>
        <n v="0.58565654999999994" u="1"/>
        <n v="0.76389300167801799" u="1"/>
        <n v="0.92488401934656006" u="1"/>
        <n v="0.34469424990291253" u="1"/>
        <n v="0.19492827400000004" u="1"/>
        <n v="0.26600000000000001" u="1"/>
        <n v="0.97289803888888893" u="1"/>
        <n v="0.82" u="1"/>
        <n v="0.73010839024390251" u="1"/>
        <n v="0.75094139534883719" u="1"/>
        <n v="0.5157788166666667" u="1"/>
        <n v="0.68018255813953488" u="1"/>
        <n v="0.37346866347572827" u="1"/>
        <n v="0.14397782352941177" u="1"/>
        <n v="0.63733093023255816" u="1"/>
        <n v="0.38466666666666666" u="1"/>
        <n v="0.51962813648205119" u="1"/>
        <n v="0.82052487368421057" u="1"/>
        <n v="0.92083703484354951" u="1"/>
        <n v="0.93112546666666662" u="1"/>
        <n v="0.90233175833333268" u="1"/>
        <n v="0.46866666666666668" u="1"/>
        <n v="0.77869904254269073" u="1"/>
        <n v="0.66738300000000006" u="1"/>
        <n v="0.67109746182105268" u="1"/>
        <n v="0.72578953488372089" u="1"/>
        <n v="0.86599999999999999" u="1"/>
        <n v="0.95429868719771005" u="1"/>
        <n v="0.50666666666666671" u="1"/>
        <n v="0.51245925000000003" u="1"/>
        <n v="0.7881083720930232" u="1"/>
        <n v="0.89641023255813945" u="1"/>
        <n v="0.61549174158947373" u="1"/>
        <n v="0.44665143249230777" u="1"/>
        <n v="0.18122964705882352" u="1"/>
        <n v="0.5521951162790697" u="1"/>
        <n v="0.25429014705883146" u="1"/>
        <n v="0.75315472195121957" u="1"/>
        <n v="0.33000881395348836" u="1"/>
        <n v="0.68436429411770316" u="1"/>
        <n v="0.79350508340736359" u="1"/>
        <n v="0.90081788333333357" u="1"/>
        <n v="0.54759552777777776" u="1"/>
        <n v="0.54206917999999993" u="1"/>
        <n v="0.55266666666666664" u="1"/>
        <n v="0.97745023255813956" u="1"/>
        <n v="0.42153429796116515" u="1"/>
        <n v="0.78938837209302326" u="1"/>
        <n v="0.8750370151021617" u="1"/>
        <n v="0.87928141348336786" u="1"/>
        <n v="0.52449926174358985" u="1"/>
        <n v="0.70615063414634138" u="1"/>
        <n v="9.1896160300069099E-2" u="1"/>
        <n v="0.11660118600000023" u="1"/>
        <n v="0.88030228333333316" u="1"/>
        <n v="0.8381489333333334" u="1"/>
        <n v="0.80406672589083017" u="1"/>
        <n v="0.59866666666666668" u="1"/>
        <n v="0.86040533611111047" u="1"/>
        <n v="0.99222046511627904" u="1"/>
        <n v="0.76666666666666672" u="1"/>
        <n v="0.29650181499999995" u="1"/>
        <n v="0.48364934999999998" u="1"/>
        <n v="0.89627604651162796" u="1"/>
        <n v="0.24565461764706437" u="1"/>
        <n v="0.90445168295331158" u="1"/>
        <n v="0.52832003888888901" u="1"/>
        <n v="0.90869608133451785" u="1"/>
        <n v="0.39877496805825263" u="1"/>
        <n v="0.83867116279069764" u="1"/>
        <n v="0.57533333333333336" u="1"/>
        <n v="0.60615569756097576" u="1"/>
        <n v="0.45352386666666655" u="1"/>
        <n v="0.78116671602013621" u="1"/>
        <n v="0.35799999999999998" u="1"/>
        <n v="0.77759250256842116" u="1"/>
        <n v="0.57972523529414699" u="1"/>
        <n v="0.51645599999999992" u="1"/>
        <n v="0.25714679999999818" u="1"/>
        <n v="0.93790465116279065" u="1"/>
        <n v="0.32156670588236219" u="1"/>
        <n v="0.76646388888888883" u="1"/>
        <n v="0.25487670588235295" u="1"/>
        <n v="0.80368097917283576" u="1"/>
        <n v="0.85454292682926813" u="1"/>
        <n v="0.93706480000000003" u="1"/>
        <n v="0.29715848699999869" u="1"/>
        <n v="0.31361676470588795" u="1"/>
        <n v="0.17944670588235073" u="1"/>
        <n v="0.8992343953488372" u="1"/>
        <n v="0.91925772381798443" u="1"/>
        <n v="0.47790697674418603" u="1"/>
        <n v="0.94343626666666669" u="1"/>
        <n v="0.10170663999999972" u="1"/>
        <n v="0.10170663999999974" u="1"/>
        <n v="0.73828699063157888" u="1"/>
        <n v="0.90377427368421059" u="1"/>
        <n v="0.63795658536585353" u="1"/>
        <n v="0.40067120886407775" u="1"/>
        <n v="0.6351853343157895" u="1"/>
        <n v="0.99018439999999996" u="1"/>
        <n v="0.25190751399999983" u="1"/>
        <n v="0.7913628292682926" u="1"/>
        <n v="0.68729641693811072" u="1"/>
        <n v="0.86289606159313004" u="1"/>
        <n v="0.36850396544660202" u="1"/>
        <n v="0.13733333333333334" u="1"/>
        <n v="0.98778806666666663" u="1"/>
        <n v="0.10716012" u="1"/>
        <n v="0.91521073931497388" u="1"/>
        <n v="0.50707717647058825" u="1"/>
        <n v="0.74932290094736831" u="1"/>
        <n v="0.78768137400059224" u="1"/>
        <n v="0.7627279069767442" u="1"/>
        <n v="0.96328101865561144" u="1"/>
        <n v="0.7218049658536585" u="1"/>
        <n v="0.74872745555555598" u="1"/>
        <n v="0.26490779199999825" u="1"/>
        <n v="0.81449922777777817" u="1"/>
        <n v="0.87345770407659662" u="1"/>
        <n v="0.56530379999999991" u="1"/>
        <n v="0.27580778999999978" u="1"/>
        <n v="0.84611786666666655" u="1"/>
        <n v="0.61310406786315796" u="1"/>
        <n v="0.89231072944427992" u="1"/>
        <n v="0.75017273714342114" u="1"/>
        <n v="0.90691935643075705" u="1"/>
        <n v="0.52394416430769242" u="1"/>
        <n v="0.96615396097560979" u="1"/>
        <n v="0.62141911219512191" u="1"/>
        <n v="0.92577238179844046" u="1"/>
        <n v="0.81458136585365848" u="1"/>
        <n v="0.14757055882352413" u="1"/>
        <n v="0.67742629411770283" u="1"/>
        <n v="0.31477023255813952" u="1"/>
        <n v="0.73010697674418601" u="1"/>
        <n v="0.11178305400000005" u="1"/>
        <n v="0.38066666666666665" u="1"/>
        <n v="0.59133333333333338" u="1"/>
        <n v="0.84756139534883723" u="1"/>
        <n v="0.91688600555555544" u="1"/>
        <n v="0.89110769145263147" u="1"/>
        <n v="0.13010234000000084" u="1"/>
        <n v="0.47834940555555555" u="1"/>
        <n v="0.2815897159999986" u="1"/>
        <n v="0.76073437962688772" u="1"/>
        <n v="0.9133037209302326" u="1"/>
        <n v="0.705017356097561" u="1"/>
        <n v="0.85815244444444438" u="1"/>
        <n v="0.82418491707317088" u="1"/>
        <n v="0.37820700728155338" u="1"/>
        <n v="8.380862E-2" u="1"/>
        <n v="0.19798100000000041" u="1"/>
        <n v="0.61524681951219518" u="1"/>
        <n v="0.56338551111111124" u="1"/>
        <n v="0.9405784226631132" u="1"/>
        <n v="0.82866666666666666" u="1"/>
        <n v="0.9192754666666666" u="1"/>
        <n v="0.71891186046511624" u="1"/>
        <n v="0.1738924" u="1"/>
        <n v="0.76868448780487808" u="1"/>
        <n v="0.81364999999999998" u="1"/>
        <n v="0.87336302439024383" u="1"/>
        <n v="0.51510505774358972" u="1"/>
        <n v="7.0813235294116428E-2" u="1"/>
        <n v="0.83534086829268306" u="1"/>
        <n v="0.66164953488372091" u="1"/>
        <n v="0.26269505882352939" u="1"/>
        <n v="0.86346132222222205" u="1"/>
        <n v="0.88506262357894727" u="1"/>
        <n v="0.18873604500000085" u="1"/>
        <n v="0.94662613333333334" u="1"/>
        <n v="0.283953488372093" u="1"/>
        <n v="0.76820723529411761" u="1"/>
        <n v="0.81397689473684198" u="1"/>
        <n v="0.98290183720930224" u="1"/>
        <n v="0.77949697674418605" u="1"/>
        <n v="0.90061023255813943" u="1"/>
        <n v="0.14133333333333334" u="1"/>
        <n v="0.27247614699999823" u="1"/>
        <n v="0.33580969799999894" u="1"/>
        <n v="0.18333333333333332" u="1"/>
        <n v="0.9660797333333333" u="1"/>
        <n v="0.56955929411767692" u="1"/>
        <n v="0.91777741860465112" u="1"/>
        <n v="0.5232836669473685" u="1"/>
        <n v="0.99537486666666664" u="1"/>
        <n v="0.10742262" u="1"/>
        <n v="0.54699565113846138" u="1"/>
        <n v="0.496" u="1"/>
        <n v="0.84979501463414631" u="1"/>
        <n v="0.92824005527588593" u="1"/>
        <n v="0.70128090697674417" u="1"/>
        <n v="0.39035637749514562" u="1"/>
        <n v="0.89182746574736838" u="1"/>
        <n v="0.66" u="1"/>
        <n v="0.69305369999999999" u="1"/>
        <n v="0.64119488372093025" u="1"/>
        <n v="0.95303760000000004" u="1"/>
        <n v="0.72933333333333328" u="1"/>
        <n v="0.26122180999999833" u="1"/>
        <n v="0.44921089456410251" u="1"/>
        <n v="0.35399999999999998" u="1"/>
        <n v="0.53800000000000003" u="1"/>
        <n v="0.50599481111111111" u="1"/>
        <n v="0.60181770905263132" u="1"/>
        <n v="0.53726436666666677" u="1"/>
        <n v="0.46072151111111109" u="1"/>
        <n v="0.95211253333333334" u="1"/>
        <n v="0.38866666666666666" u="1"/>
        <n v="0.6995515474736842" u="1"/>
        <n v="0.66315247804878052" u="1"/>
        <n v="0.54071531666666672" u="1"/>
        <n v="0.93017372093023254" u="1"/>
        <n v="0.32189347058824402" u="1"/>
        <n v="0.66562632273684219" u="1"/>
        <n v="0.76076695555555551" u="1"/>
        <n v="9.8810081000000119E-2" u="1"/>
        <n v="0.77533333333333332" u="1"/>
        <n v="0.84897838318033758" u="1"/>
        <n v="0.77187594117647063" u="1"/>
        <n v="0.92488184999999956" u="1"/>
        <n v="0.82081697674418608" u="1"/>
        <n v="0.36432413999999824" u="1"/>
        <n v="0.93899911163754812" u="1"/>
        <n v="0.28133333333333332" u="1"/>
        <n v="0.30120664705882599" u="1"/>
        <n v="0.30414163899999846" u="1"/>
        <n v="0.80069538888888914" u="1"/>
        <n v="0.93076986666666672" u="1"/>
        <n v="0.93534373333333332" u="1"/>
        <n v="0.99097744186046521" u="1"/>
        <n v="0.87839305103148746" u="1"/>
        <n v="0.12062149" u="1"/>
        <n v="0.87507326610526304" u="1"/>
        <n v="0.83600775555555573" u="1"/>
        <n v="0.96816506666666668" u="1"/>
        <n v="0.91609910176685416" u="1"/>
        <n v="0.51503616168421051" u="1"/>
        <n v="0.16883418000000147" u="1"/>
        <n v="0.215366742" u="1"/>
        <n v="0.79800000000000004" u="1"/>
        <n v="0.85750430000000011" u="1"/>
        <n v="0.79078579547368411" u="1"/>
        <n v="0.82627578718783934" u="1"/>
        <n v="0.86733333333333329" u="1"/>
        <n v="0.21476040399999982" u="1"/>
        <n v="0.20329933199999972" u="1"/>
        <n v="0.94246418604651161" u="1"/>
        <n v="0.67327837209302333" u="1"/>
        <n v="0.62918674418604659" u="1"/>
        <n v="0.82220476666666664" u="1"/>
        <n v="0.77466666666666661" u="1"/>
        <n v="0.40656162633980597" u="1"/>
        <n v="0.91205211726384361" u="1"/>
        <n v="0.16123414000000033" u="1"/>
        <n v="0.84399999999999997" u="1"/>
        <n v="0.38679660487378648" u="1"/>
        <n v="0.54847026666666654" u="1"/>
        <n v="0.34593876470588736" u="1"/>
        <n v="0.8254814249473682" u="1"/>
        <n v="0.4097528881165049" u="1"/>
        <n v="0.13529115700000072" u="1"/>
        <n v="0.54695407222222214" u="1"/>
        <n v="0.88832337242105286" u="1"/>
        <n v="0.99775480555555485" u="1"/>
        <n v="0.88915210739314976" u="1"/>
        <n v="0.64441531707317068" u="1"/>
        <n v="0.10742979999999996" u="1"/>
        <n v="0.53916712004102574" u="1"/>
        <n v="0.90800513276083306" u="1"/>
        <n v="0.76162274207876812" u="1"/>
        <n v="0.97057566666666673" u="1"/>
        <n v="8.939357999999975E-2" u="1"/>
        <n v="8.9393579999999875E-2" u="1"/>
        <n v="0.69402995121951216" u="1"/>
        <n v="8.8134764705881011E-2" u="1"/>
        <n v="0.7551949055555558" u="1"/>
        <n v="0.85295423126315795" u="1"/>
        <n v="8.8134764705881066E-2" u="1"/>
        <n v="0.8662520975224558" u="1"/>
        <n v="0.48420916272631592" u="1"/>
        <n v="0.72411410522159703" u="1"/>
        <n v="0.33317400000000574" u="1"/>
        <n v="0.79180197222222226" u="1"/>
        <n v="0.10212435294117647" u="1"/>
        <n v="0.93822767441860466" u="1"/>
        <n v="0.89059488372093021" u="1"/>
        <n v="0.38600783925242721" u="1"/>
        <n v="0.13060720000000101" u="1"/>
        <n v="0.63606767441860468" u="1"/>
        <n v="0.93317540223077677" u="1"/>
        <n v="0.75281102439024394" u="1"/>
        <n v="0.13060720000000126" u="1"/>
        <n v="0.75266883720930233" u="1"/>
        <n v="0.4934544628717949" u="1"/>
        <n v="0.38231341019417481" u="1"/>
        <n v="0.72540477073170739" u="1"/>
        <n v="0.60011904651162795" u="1"/>
        <n v="0.9109658139534883" u="1"/>
        <n v="0.55895467336410254" u="1"/>
        <n v="0.90653950243902437" u="1"/>
        <n v="0.23908314900000063" u="1"/>
        <n v="0.79871921951219516" u="1"/>
        <n v="0.89566676537360579" u="1"/>
        <n v="0.45226322222222226" u="1"/>
        <n v="0.55333333333333334" u="1"/>
        <n v="0.97372148872631581" u="1"/>
        <n v="0.35624166999999973" u="1"/>
        <n v="0.89930181052631586" u="1"/>
        <n v="0.77238179844043031" u="1"/>
        <n v="0.51931982777777785" u="1"/>
        <n v="0.65552248105263178" u="1"/>
        <n v="0.54086287777777786" u="1"/>
        <n v="0.56956242547368419" u="1"/>
        <n v="0.79656893741052637" u="1"/>
        <n v="0.45677652235897448" u="1"/>
        <n v="0.42100947810526312" u="1"/>
        <n v="0.65627050555555533" u="1"/>
        <n v="0.53" u="1"/>
        <n v="0.3803516046511628" u="1"/>
        <n v="0.79048253658536594" u="1"/>
        <n v="0.16711664705882354" u="1"/>
        <n v="0.89161978087059524" u="1"/>
        <n v="0.40805952125242706" u="1"/>
        <n v="0.42800825446153845" u="1"/>
        <n v="0.91047280623827853" u="1"/>
        <n v="0.45400000000000001" u="1"/>
        <n v="0.67426710097719866" u="1"/>
        <n v="0.98739206666666668" u="1"/>
        <n v="0.91810742105263121" u="1"/>
        <n v="0.85411114401342414" u="1"/>
        <n v="0.85773924444444438" u="1"/>
        <n v="0.75362953488372098" u="1"/>
        <n v="0.31156029411764824" u="1"/>
        <n v="0.98763800000000002" u="1"/>
        <n v="0.97881507317073169" u="1"/>
        <n v="0.78668682777777754" u="1"/>
        <n v="0.20807658823529412" u="1"/>
        <n v="0.5791577080000001" u="1"/>
        <n v="0.77752028292682918" u="1"/>
        <n v="0.13317318700000061" u="1"/>
        <n v="0.90693826666666666" u="1"/>
        <n v="0.95449610107590566" u="1"/>
        <n v="0.72647737560975612" u="1"/>
        <n v="0.96217043902439003" u="1"/>
        <n v="0.40422911764705882" u="1"/>
        <n v="0.89079978333333287" u="1"/>
        <n v="0.82462395348837203" u="1"/>
        <n v="0.92182509268292667" u="1"/>
        <n v="0.72646860465116281" u="1"/>
        <n v="0.93821502777777743" u="1"/>
        <n v="0.51360086694736851" u="1"/>
        <n v="0.69133333333333336" u="1"/>
        <n v="0.17823705882352942" u="1"/>
        <n v="0.18533333333333332" u="1"/>
        <n v="9.0840039999999164E-2" u="1"/>
        <n v="0.60035869589473678" u="1"/>
        <n v="0.20266666666666666" u="1"/>
        <n v="0.43167463291262137" u="1"/>
        <n v="0.82716414963971963" u="1"/>
        <n v="0.88270604651162787" u="1"/>
        <n v="0.27981994117647746" u="1"/>
        <n v="0.84177277662619687" u="1"/>
        <n v="0.51565581605128208" u="1"/>
        <n v="0.61038189444444457" u="1"/>
        <n v="0.92527186046511622" u="1"/>
        <n v="0.10733333333333334" u="1"/>
        <n v="0.40402627550485448" u="1"/>
        <n v="0.7575180748421052" u="1"/>
        <n v="0.93166416279069775" u="1"/>
        <n v="0.92754910670220114" u="1"/>
        <n v="0.84411004878048745" u="1"/>
        <n v="0.80966721666666686" u="1"/>
        <n v="0.69125019473684213" u="1"/>
        <n v="0.80426413976902578" u="1"/>
        <n v="0.46051121957894736" u="1"/>
        <n v="0.86093904651162789" u="1"/>
        <n v="0.83783428333333343" u="1"/>
        <n v="0.36547253488372095" u="1"/>
        <n v="0.35550515683495154" u="1"/>
        <n v="0.47683103928205134" u="1"/>
        <n v="0.64671082926829271" u="1"/>
        <n v="0.25548633099999818" u="1"/>
        <n v="0.89661255813953489" u="1"/>
        <n v="0.78603255813953488" u="1"/>
        <n v="0.51718517221052629" u="1"/>
        <n v="0.7968031219512195" u="1"/>
        <n v="0.95696377455335113" u="1"/>
        <n v="0.46006732857142857" u="1"/>
        <n v="0.83131999999999995" u="1"/>
        <n v="0.4367632352941308" u="1"/>
        <n v="0.56051226666666643" u="1"/>
        <n v="0.56863313888888878" u="1"/>
        <n v="0.33710386999999997" u="1"/>
        <n v="0.53476303888888888" u="1"/>
        <n v="0.49750586905263167" u="1"/>
        <n v="0.1014085" u="1"/>
        <n v="0.63800000000000001" u="1"/>
        <n v="0.82087093023255808" u="1"/>
        <n v="0.10071930000000012" u="1"/>
        <n v="0.75200330731707321" u="1"/>
        <n v="0.53845907777777779" u="1"/>
        <n v="0.62899883720930239" u="1"/>
        <n v="0.91395930232558142" u="1"/>
        <n v="0.59709965067368409" u="1"/>
        <n v="0.72339466410526321" u="1"/>
        <n v="0.97127916666666692" u="1"/>
        <n v="0.10098224000000001" u="1"/>
        <n v="0.66531472195121943" u="1"/>
        <n v="0.88147279069767448" u="1"/>
        <n v="0.23133333333333334" u="1"/>
        <n v="0.61466666666666669" u="1"/>
        <n v="0.87992395348837205" u="1"/>
        <n v="0.88327130526315789" u="1"/>
        <n v="0.36586535294117645" u="1"/>
        <n v="0.7173902325581395" u="1"/>
        <n v="0.346069470588241" u="1"/>
        <n v="0.82558483861415455" u="1"/>
        <n v="0.68177232558139533" u="1"/>
        <n v="0.77264711764705885" u="1"/>
        <n v="0.36599999999999999" u="1"/>
        <n v="0.73151712565393345" u="1"/>
        <n v="0.30779882352941823" u="1"/>
        <n v="0.85539363284210523" u="1"/>
        <n v="0.90711677030895277" u="1"/>
        <n v="0.40066666666666667" u="1"/>
        <n v="0.98761693333333334" u="1"/>
        <n v="0.61735145715789475" u="1"/>
        <n v="0.97087239999999997" u="1"/>
        <n v="0.8026848287434607" u="1"/>
        <n v="0.95943144803079661" u="1"/>
        <n v="0.26557547058823927" u="1"/>
        <n v="0.70509160975609764" u="1"/>
        <n v="0.62220867317073181" u="1"/>
        <n v="0.75892082777777792" u="1"/>
        <n v="0.5580512666666666" u="1"/>
        <n v="0.90731418418714838" u="1"/>
        <n v="0.83196838048780508" u="1"/>
        <n v="0.90216236097560965" u="1"/>
        <n v="0.69217129411771094" u="1"/>
        <n v="0.71829418604651163" u="1"/>
        <n v="0.59728116097560968" u="1"/>
        <n v="0.99098013333333324" u="1"/>
        <n v="0.8476120930232558" u="1"/>
        <n v="0.24405317647058825" u="1"/>
        <n v="0.37733333333333335" u="1"/>
        <n v="0.58466666666666667" u="1"/>
        <n v="0.9544168975609757" u="1"/>
        <n v="0.44832983249230762" u="1"/>
        <n v="0.42140255813953487" u="1"/>
        <n v="0.87667740555555562" u="1"/>
        <n v="0.11807652941176144" u="1"/>
        <n v="0.71716695348837212" u="1"/>
        <n v="0.41199999999999998" u="1"/>
        <n v="0.73194209302325586" u="1"/>
        <n v="0.67402921666666671" u="1"/>
        <n v="0.85718625581395347" u="1"/>
        <n v="0.17599999999999999" u="1"/>
        <n v="0.91787582667061496" u="1"/>
        <n v="0.43836446651456329" u="1"/>
        <n v="0.218" u="1"/>
        <n v="0.85562039024390213" u="1"/>
        <n v="0.4823151172307692" u="1"/>
        <n v="0.58773651162790697" u="1"/>
        <n v="0.77869004878048753" u="1"/>
        <n v="0.69036532558139541" u="1"/>
        <n v="0.56449820555555563" u="1"/>
        <n v="0.79683990243902447" u="1"/>
        <n v="0.22634523529411765" u="1"/>
        <n v="0.7362057463414633" u="1"/>
        <n v="0.2263452352941179" u="1"/>
        <n v="0.85893339999999985" u="1"/>
        <n v="0.79866666666666664" u="1"/>
        <n v="0.73822919751258509" u="1"/>
        <n v="0.8695406829268294" u="1"/>
        <n v="0.97769386666666658" u="1"/>
        <n v="0.74277385365853665" u="1"/>
        <n v="0.86213023255813948" u="1"/>
        <n v="0.74611881395348834" u="1"/>
        <n v="0.42333333333333334" u="1"/>
        <n v="0.6314079069767442" u="1"/>
        <n v="9.0191159999999188E-2" u="1"/>
        <n v="0.66225648837209306" u="1"/>
        <n v="9.0191159999999243E-2" u="1"/>
        <n v="0.80263838055555581" u="1"/>
        <n v="0.92766263611111022" u="1"/>
        <n v="0.67687502439024405" u="1"/>
        <n v="0.82229232558139531" u="1"/>
        <n v="0.4662804570526316" u="1"/>
        <n v="0.78713465116279069" u="1"/>
        <n v="0.59048723529415226" u="1"/>
        <n v="0.65333333333333332" u="1"/>
        <n v="0.82307837209302326" u="1"/>
        <n v="0.94967929473684221" u="1"/>
        <n v="0.26666666666666666" u="1"/>
        <n v="0.87589692222222215" u="1"/>
        <n v="0.27473205882352941" u="1"/>
        <n v="0.79994951219512178" u="1"/>
        <n v="0.88688184779389989" u="1"/>
        <n v="0.74877754146341491" u="1"/>
        <n v="0.90149047478037703" u="1"/>
        <n v="0.21007577999999999" u="1"/>
        <n v="0.79144350833333388" u="1"/>
        <n v="0.12337957099999956" u="1"/>
        <n v="0.78218936585365839" u="1"/>
        <n v="0.66803069767441869" u="1"/>
        <n v="0.95380515250222087" u="1"/>
        <n v="0.76866666666666672" u="1"/>
        <n v="0.79112380487804879" u="1"/>
        <n v="0.12470000000000001" u="1"/>
        <n v="0.50800000000000001" u="1"/>
        <n v="0.78242179444444437" u="1"/>
        <n v="0.4526236666666667" u="1"/>
        <n v="0.9194878666666666" u="1"/>
        <n v="0.75318976744186039" u="1"/>
        <n v="0.70772865215789471" u="1"/>
        <n v="0.45044697674418605" u="1"/>
        <n v="0.97312359999999998" u="1"/>
        <n v="0.27800000000000002" u="1"/>
        <n v="0.45293118799999998" u="1"/>
        <n v="0.94975816799921031" u="1"/>
        <n v="0.98110651162790696" u="1"/>
        <n v="4.6666666666666669E-2" u="1"/>
        <n v="0.80862189999999989" u="1"/>
        <n v="0.81466666666666665" u="1"/>
        <n v="0.68433520876517617" u="1"/>
        <n v="0.4498160991589743" u="1"/>
        <n v="0.52143647777777791" u="1"/>
        <n v="0.39666666666666667" u="1"/>
        <n v="0.9579179707317077" u="1"/>
        <n v="0.52069532777777761" u="1"/>
        <n v="0.60700378694736823" u="1"/>
        <n v="0.5481873444444445" u="1"/>
        <n v="0.93813082105263157" u="1"/>
        <n v="0.39909935449514566" u="1"/>
        <n v="0.77022253488372094" u="1"/>
        <n v="0.81239418604651159" u="1"/>
        <n v="0.78172222222222221" u="1"/>
        <n v="0.50500603333333338" u="1"/>
        <n v="0.74963970588235296" u="1"/>
        <n v="0.58664403333333337" u="1"/>
        <n v="0.77847453658536581" u="1"/>
        <n v="0.94048026666666673" u="1"/>
        <n v="0.96466999999999992" u="1"/>
        <n v="0.76417584444444464" u="1"/>
        <n v="0.71698546341463398" u="1"/>
        <n v="0.6" u="1"/>
        <n v="0.63819997674418605" u="1"/>
        <n v="0.65987060694736843" u="1"/>
        <n v="0.56804334652631583" u="1"/>
        <n v="0.85588786891718482" u="1"/>
        <n v="0.77703417222222204" u="1"/>
        <n v="0.7283585036028033" u="1"/>
        <n v="0.51087149852631575" u="1"/>
        <n v="0.2501289411764735" u="1"/>
        <n v="0.61658741666666683" u="1"/>
        <n v="0.65363731111111112" u="1"/>
        <n v="0.42561119733009706" u="1"/>
        <n v="0.30378253199999888" u="1"/>
        <n v="0.97712806666666674" u="1"/>
        <n v="0.13200000000000001" u="1"/>
        <n v="0.70846509302325578" u="1"/>
        <n v="0.8106269268292684" u="1"/>
        <n v="0.84759648603296811" u="1"/>
        <n v="0.88298511627906973" u="1"/>
        <n v="0.95941626666666668" u="1"/>
        <n v="0.84464558139534884" u="1"/>
        <n v="0.36010487199999835" u="1"/>
        <n v="0.69110893157894748" u="1"/>
        <n v="0.19133333333333333" u="1"/>
        <n v="0.74316454446747604" u="1"/>
        <n v="0.47733333333333333" u="1"/>
        <n v="0.4219244096116504" u="1"/>
        <n v="0.39019478776699029" u="1"/>
        <n v="0.91876418912249536" u="1"/>
        <n v="0.84627860465116278" u="1"/>
        <n v="0.8833333333333333" u="1"/>
        <n v="0.99987507317073165" u="1"/>
        <n v="0.74680047804878058" u="1"/>
        <n v="0.81748584390243906" u="1"/>
        <n v="0.55981588888888889" u="1"/>
        <n v="0.69199999999999995" u="1"/>
        <n v="0.84354950152995756" u="1"/>
        <n v="0.85598057560975616" u="1"/>
        <n v="0.52557787178947379" u="1"/>
        <n v="0.24507520588235987" u="1"/>
        <n v="0.86" u="1"/>
        <n v="0.73618516097560982" u="1"/>
        <n v="0.90579186046511628" u="1"/>
        <n v="0.95596160000000008" u="1"/>
        <n v="0.40466666666666667" u="1"/>
        <n v="0.98164050932780578" u="1"/>
        <n v="0.86388910555555576" u="1"/>
        <n v="0.38089224665048549" u="1"/>
        <n v="0.76060028292682924" u="1"/>
        <n v="0.22566647099999987" u="1"/>
        <n v="0.97323063414634137" u="1"/>
        <n v="0.76333894176842121" u="1"/>
        <n v="0.87296416938110755" u="1"/>
        <n v="0.73082617708024877" u="1"/>
        <n v="0.76270860465116275" u="1"/>
        <n v="0.70884234146341463" u="1"/>
        <n v="0.692465756097561" u="1"/>
        <n v="0.9800238055555559" u="1"/>
        <n v="0.71466666666666667" u="1"/>
        <n v="0.86303069767441865" u="1"/>
        <n v="0.51148962222222216" u="1"/>
        <n v="0.19959376470588233" u="1"/>
        <n v="0.26933423529411765" u="1"/>
        <n v="0.97087395595789461" u="1"/>
        <n v="0.99220215181127236" u="1"/>
        <n v="0.92089513333333328" u="1"/>
        <n v="0.59266666666666667" u="1"/>
        <n v="0.87000897777777753" u="1"/>
        <n v="0.27460135294117644" u="1"/>
        <n v="0.96733649444443692" u="1"/>
        <n v="0.17799999999999999" u="1"/>
        <n v="0.56392138863157892" u="1"/>
        <n v="0.7878641463414634" u="1"/>
        <n v="0.79794689566676535" u="1"/>
        <n v="0.95469351495410126" u="1"/>
        <n v="0.45066666666666666" u="1"/>
        <n v="0.66923372093023259" u="1"/>
        <n v="0.56933333333333336" u="1"/>
        <n v="0.4125250005048543" u="1"/>
        <n v="0.61224359999999989" u="1"/>
        <n v="0.78363023255813957" u="1"/>
        <n v="0.78998891707317087" u="1"/>
        <n v="0.87629894444444434" u="1"/>
        <n v="0.80053134189473707" u="1"/>
        <n v="0.40376325613592229" u="1"/>
        <n v="0.89564615009263182" u="1"/>
        <n v="0.63866666666666672" u="1"/>
        <n v="0.36910221999999848" u="1"/>
        <n v="0.91718487809693017" u="1"/>
        <n v="0.81667609756097559" u="1"/>
        <n v="0.12466666666666666" u="1"/>
        <n v="0.78490395348837205" u="1"/>
        <n v="0.82736156351791534" u="1"/>
        <n v="0.94183319999999993" u="1"/>
        <n v="0.61533333333333329" u="1"/>
        <n v="0.71443720930232557" u="1"/>
        <n v="0.49376917647060581" u="1"/>
        <n v="0.66748325581395351" u="1"/>
        <n v="0.67085627906976741" u="1"/>
        <n v="0.53359254999999994" u="1"/>
        <n v="0.94837697560975587" u="1"/>
        <n v="0.8450455813953488" u="1"/>
        <n v="0.30918134883720932" u="1"/>
        <n v="0.91503231219512204" u="1"/>
        <n v="0.13834889000000103" u="1"/>
        <n v="0.91309462790697671" u="1"/>
        <n v="0.90975481666666658" u="1"/>
        <n v="0.28985151699999839" u="1"/>
        <n v="0.4722711277777778" u="1"/>
        <n v="0.20798652941176468" u="1"/>
        <n v="0.79176241111111101" u="1"/>
        <n v="0.89562488372093019" u="1"/>
        <n v="0.45462535238095231" u="1"/>
        <n v="0.46690955178947363" u="1"/>
        <n v="0.90774901052631585" u="1"/>
        <n v="0.39975606019417481" u="1"/>
        <n v="0.76526068292682925" u="1"/>
        <n v="0.18306381199999947" u="1"/>
        <n v="0.85408674418604646" u="1"/>
        <n v="0.11555529000000027" u="1"/>
        <n v="0.80121255813953485" u="1"/>
        <n v="0.47486203005128202" u="1"/>
        <n v="0.94165733333333335" u="1"/>
        <n v="0.87904297222222239" u="1"/>
        <n v="0.7452170731707316" u="1"/>
        <n v="0.9425525614450696" u="1"/>
        <n v="5.9507529411764168E-2" u="1"/>
        <n v="0.80061218400000012" u="1"/>
        <n v="0.95179369767441857" u="1"/>
        <n v="0.81502319613068797" u="1"/>
        <n v="0.88944489444444441" u="1"/>
        <n v="0.46088194761904749" u="1"/>
        <n v="0.70733333333333337" u="1"/>
        <n v="0.42399999999999999" u="1"/>
        <n v="0.57056819116842128" u="1"/>
        <n v="0.87831837209302321" u="1"/>
        <n v="0.98420601666666663" u="1"/>
        <n v="0.88619089922021521" u="1"/>
        <n v="0.64551911263157891" u="1"/>
        <n v="0.2973427959999998" u="1"/>
        <n v="0.51600000000000001" u="1"/>
        <n v="0.21968258000000013" u="1"/>
        <n v="9.8043640000000154E-2" u="1"/>
        <n v="0.19036857100000121" u="1"/>
        <n v="0.82168441860465113" u="1"/>
        <n v="0.64872983333333345" u="1"/>
        <n v="0.84592438333333309" u="1"/>
        <n v="0.56660055555555577" u="1"/>
        <n v="0.65628206027368441" u="1"/>
        <n v="0.56683340000000004" u="1"/>
        <n v="0.55548266526315815" u="1"/>
        <n v="0.92434953888888838" u="1"/>
        <n v="0.84544020000000009" u="1"/>
        <n v="0.94802232558139532" u="1"/>
        <n v="0.84443786398183796" u="1"/>
        <n v="0.26106916599999819" u="1"/>
        <n v="0.28390161799999863" u="1"/>
        <n v="0.41502476470589117" u="1"/>
        <n v="0.72366447804878042" u="1"/>
        <n v="0.20049153200000028" u="1"/>
        <n v="0.4447267055555556" u="1"/>
        <n v="0.6313333333333333" u="1"/>
        <n v="0.76609597222222225" u="1"/>
        <n v="0.72662697674418608" u="1"/>
        <n v="0.42225533999999881" u="1"/>
        <n v="0.96792024479320893" u="1"/>
        <n v="0.57537688333333326" u="1"/>
        <n v="0.92219950555555541" u="1"/>
        <n v="0.96903586666666675" u="1"/>
        <n v="0.96118173333333334" u="1"/>
        <n v="0.85998746111111135" u="1"/>
        <n v="0.95398052222222218" u="1"/>
        <n v="0.9647557789473683" u="1"/>
        <n v="0.60756981894736839" u="1"/>
        <n v="0.60799999999999998" u="1"/>
        <n v="0.97567764210526309" u="1"/>
        <n v="0.38901608106796115" u="1"/>
        <n v="0.20342447058823529" u="1"/>
        <n v="0.76942059026749576" u="1"/>
        <n v="0.67733333333333334" u="1"/>
        <n v="0.2014241799999997" u="1"/>
        <n v="0.49676983888888893" u="1"/>
        <n v="0.76545073333333313" u="1"/>
        <n v="0.9698480195121949" u="1"/>
        <n v="0.32800000000000001" u="1"/>
        <n v="0.90791558139534878" u="1"/>
        <n v="0.59428835294117643" u="1"/>
        <n v="0.33715759499999864" u="1"/>
        <n v="0.39733333333333332" u="1"/>
        <n v="0.19300231199999945" u="1"/>
        <n v="0.57644689999999998" u="1"/>
        <n v="0.19333333333333333" u="1"/>
        <n v="0.48133333333333334" u="1"/>
        <n v="0.49644584020512822" u="1"/>
        <n v="0.6946054211578947" u="1"/>
        <n v="0.89129980555555566" u="1"/>
        <n v="0.82377927906976744" u="1"/>
        <n v="0.75032069767441856" u="1"/>
        <n v="0.9928621333333334" u="1"/>
        <n v="0.21066666666666667" u="1"/>
        <n v="0.14138970588235295" u="1"/>
        <n v="0.99328792814134836" u="1"/>
        <n v="0.69015891817194752" u="1"/>
        <n v="0.23745329411764704" u="1"/>
        <n v="0.98477599999999998" u="1"/>
        <n v="0.85636196666666653" u="1"/>
        <n v="0.96067232558139526" u="1"/>
        <n v="0.70488209302325577" u="1"/>
        <n v="0.76933333333333331" u="1"/>
        <n v="0.26370180999999815" u="1"/>
        <n v="0.89852790697674423" u="1"/>
        <n v="0.89447604651162782" u="1"/>
        <n v="0.93692626591649397" u="1"/>
        <n v="0.10099823999999982" u="1"/>
        <n v="0.73046069767441868" u="1"/>
        <n v="0.29776506999999952" u="1"/>
        <n v="0.374" u="1"/>
        <n v="0.54162365088205122" u="1"/>
        <n v="0.85167906666666648" u="1"/>
        <n v="0.76622787334736864" u="1"/>
        <n v="0.67472881666666673" u="1"/>
        <n v="0.9309765333333333" u="1"/>
        <n v="0.76709417473684205" u="1"/>
        <n v="0.746" u="1"/>
        <n v="0.92720714146341443" u="1"/>
        <n v="0.78392976744186049" u="1"/>
        <n v="0.57706111111111102" u="1"/>
        <n v="0.76185369767441857" u="1"/>
        <n v="0.87672604651162789" u="1"/>
        <n v="0.79048465116279065" u="1"/>
        <n v="0.92837683333333332" u="1"/>
        <n v="0.55466666666666664" u="1"/>
        <n v="0.59908015000000003" u="1"/>
        <n v="0.5685119666666667" u="1"/>
        <n v="0.28149091599999987" u="1"/>
        <n v="0.93371439534883716" u="1"/>
        <n v="0.39773023950485431" u="1"/>
        <n v="0.86224813953488366" u="1"/>
        <n v="0.50880239917948711" u="1"/>
        <n v="0.76957901463414635" u="1"/>
        <n v="0.99480158048780509" u="1"/>
        <n v="0.87227322080742276" u="1"/>
        <n v="0.91357348837209307" u="1"/>
        <n v="0.24875852999999992" u="1"/>
        <n v="0.49873398994871809" u="1"/>
        <n v="0.17259005882352987" u="1"/>
        <n v="0.74898825387424739" u="1"/>
        <n v="0.33600000000000002" u="1"/>
        <n v="0.88485374722222276" u="1"/>
        <n v="0.85895562105263168" u="1"/>
        <n v="0.9192583720930233" u="1"/>
        <n v="0.75573503333333336" u="1"/>
        <n v="0.94344092389695" u="1"/>
        <n v="0.79916651162790697" u="1"/>
        <n v="0.34486576470588326" u="1"/>
        <n v="0.67" u="1"/>
        <n v="0.87008632222222215" u="1"/>
        <n v="0.5208732667368422" u="1"/>
        <n v="0.34486576470588393" u="1"/>
        <n v="0.59235000000000004" u="1"/>
        <n v="0.5199468611111111" u="1"/>
        <n v="0.88181158611111066" u="1"/>
        <n v="0.99745279069767434" u="1"/>
        <n v="0.45330227682051283" u="1"/>
        <n v="0.48933333333333334" u="1"/>
        <n v="0.75011439534883717" u="1"/>
        <n v="0.40133873361165051" u="1"/>
        <n v="0.79199102439024405" u="1"/>
        <n v="0.43580734899999851" u="1"/>
        <n v="0.76357892682926831" u="1"/>
        <n v="0.90168788865857274" u="1"/>
        <n v="0.92583326666666665" u="1"/>
        <n v="0.92054091402625604" u="1"/>
        <n v="0.77840292172539727" u="1"/>
        <n v="0.94354046511627909" u="1"/>
        <n v="0.4889288298947369" u="1"/>
        <n v="0.97285559174809988" u="1"/>
        <n v="0.86625419444444451" u="1"/>
        <n v="0.58736720930232555" u="1"/>
        <n v="0.34733333333333333" u="1"/>
        <n v="0.11855754500000031" u="1"/>
        <n v="0.87875860465116273" u="1"/>
        <n v="0.80548833021052635" u="1"/>
        <n v="0.57722551111111087" u="1"/>
        <n v="0.31908137209302323" u="1"/>
        <n v="0.62333333333333329" u="1"/>
        <n v="0.80876370588235302" u="1"/>
        <n v="0.92591846018947366" u="1"/>
        <n v="0.20805188235294117" u="1"/>
        <n v="0.83314583984210544" u="1"/>
        <n v="0.88469067441860461" u="1"/>
        <n v="0.69266666666666665" u="1"/>
        <n v="0.25595645699999975" u="1"/>
        <n v="0.54272303888888895" u="1"/>
        <n v="0.94995558187740603" u="1"/>
        <n v="0.96880860724508933" u="1"/>
        <n v="0.76200000000000001" u="1"/>
        <n v="0.30284358999999866" u="1"/>
        <n v="0.30284358999999872" u="1"/>
        <n v="0.38857239233009716" u="1"/>
        <n v="0.93724011978947408" u="1"/>
        <n v="0.77622097560975623" u="1"/>
        <n v="0.85919069767441858" u="1"/>
        <n v="0.57165999999999995" u="1"/>
        <n v="0.85708069767441863" u="1"/>
        <n v="0.95741639999999995" u="1"/>
        <n v="0.90597937222222213" u="1"/>
        <n v="0.9841437750000005" u="1"/>
        <n v="0.28000314999999981" u="1"/>
        <n v="0.28000314999999987" u="1"/>
        <n v="0.89359391965255153" u="1"/>
        <n v="0.92705557200671207" u="1"/>
        <n v="0.59089857115789479" u="1"/>
        <n v="0.94590859737439537" u="1"/>
        <n v="0.75405395348837201" u="1"/>
        <n v="0.42282168488349509" u="1"/>
        <n v="0.8037706050735367" u="1"/>
        <n v="0.17055374000000001" u="1"/>
        <n v="0.81837923206001384" u="1"/>
        <n v="0.85500441860465115" u="1"/>
        <n v="0.25293176999999978" u="1"/>
        <n v="0.25293176999999994" u="1"/>
        <n v="0.55557869388421055" u="1"/>
        <n v="0.44472001904761904" u="1"/>
        <n v="0.73004230232558143" u="1"/>
        <n v="0.71533333333333338" u="1"/>
        <n v="0.69907604651162791" u="1"/>
        <n v="0.54499133333333327" u="1"/>
        <n v="0.85634079894736848" u="1"/>
        <n v="0.53252943888888882" u="1"/>
        <n v="0.78466666666666662" u="1"/>
        <n v="0.24109981200000064" u="1"/>
        <n v="0.86945900317894731" u="1"/>
        <n v="0.16185605300000097" u="1"/>
        <n v="0.65129053658536573" u="1"/>
        <n v="0.7944930731707317" u="1"/>
        <n v="0.81433224755700329" u="1"/>
        <n v="0.85399999999999998" u="1"/>
        <n v="0.5606878074871795" u="1"/>
        <n v="0.95730280555555591" u="1"/>
        <n v="0.78948809756097549" u="1"/>
        <n v="0.40064672897087378" u="1"/>
        <n v="0.10801755200000039" u="1"/>
        <n v="0.76133333333333331" u="1"/>
        <n v="0.81353372093023257" u="1"/>
        <n v="0.72552651694736847" u="1"/>
        <n v="0.84429367777777775" u="1"/>
        <n v="0.91896160300069096" u="1"/>
        <n v="0.79795495555555562" u="1"/>
        <n v="0.71286028292682935" u="1"/>
        <n v="0.77682361069983219" u="1"/>
        <n v="0.9335702299871681" u="1"/>
        <n v="0.11833310000000048" u="1"/>
        <n v="0.38210603044660202" u="1"/>
        <n v="0.19625800999999959" u="1"/>
        <n v="0.35533333333333333" u="1"/>
        <n v="0.30114358999999874" u="1"/>
        <n v="0.96196585555555492" u="1"/>
        <n v="0.94436466666666663" u="1"/>
        <n v="0.92654953488372094" u="1"/>
        <n v="0.61049833894736827" u="1"/>
        <n v="0.86259994077583657" u="1"/>
        <n v="0.73507057546145493" u="1"/>
        <n v="0.47399999999999998" u="1"/>
        <n v="0.99780232558139537" u="1"/>
        <n v="0.26039627999999965" u="1"/>
        <n v="0.87666666666666671" u="1"/>
        <n v="0.91491461849768041" u="1"/>
        <n v="0.61599999999999999" u="1"/>
        <n v="0.3602036049611651" u="1"/>
        <n v="0.46408324652631583" u="1"/>
        <n v="0.6272625581395348" u="1"/>
        <n v="0.24094066199999817" u="1"/>
        <n v="9.1546352941174955E-2" u="1"/>
        <n v="0.92417649999999973" u="1"/>
        <n v="0.78085951219512206" u="1"/>
        <n v="0.86886069767441865" u="1"/>
        <n v="0.83884348837209299" u="1"/>
        <n v="0.79918403902439017" u="1"/>
        <n v="0.23459420588235763" u="1"/>
        <n v="0.58715442926829275" u="1"/>
        <n v="0.90386719999999987" u="1"/>
        <n v="0.63547823529411773" u="1"/>
        <n v="0.89201460862698645" u="1"/>
        <n v="0.9384179707317073" u="1"/>
        <n v="0.24057744117647573" u="1"/>
        <n v="0.90662323561346359" u="1"/>
        <n v="0.36666666666666664" u="1"/>
        <n v="0.14876250000000105" u="1"/>
        <n v="0.98169266666666666" u="1"/>
        <n v="0.78333826868028822" u="1"/>
        <n v="0.25644882999999979" u="1"/>
        <n v="0.92871033333333253" u="1"/>
        <n v="0.73133333333333328" u="1"/>
        <n v="0.76251502777777791" u="1"/>
        <n v="0.67111589268292682" u="1"/>
        <n v="0.93735837209302331" u="1"/>
        <n v="0.89933333333333332" u="1"/>
        <n v="0.72430209302325577" u="1"/>
        <n v="0.9365399767441861" u="1"/>
        <n v="0.17435880000000126" u="1"/>
        <n v="0.78586860465116282" u="1"/>
        <n v="0.88572112610526332" u="1"/>
        <n v="0.7478716279069767" u="1"/>
        <n v="0.29399999999999998" u="1"/>
        <n v="0.59121370000000029" u="1"/>
        <n v="0.7119616279069767" u="1"/>
        <n v="0.18626935294117572" u="1"/>
        <n v="0.84668185365853676" u="1"/>
        <n v="0.45862707810526299" u="1"/>
        <n v="0.88345487039999981" u="1"/>
        <n v="0.19305828200000022" u="1"/>
        <n v="0.25442788799999977" u="1"/>
        <n v="0.9231327906976744" u="1"/>
        <n v="0.34148887000000011" u="1"/>
        <n v="0.74215541176478494" u="1"/>
        <n v="0.81711677071578948" u="1"/>
        <n v="0.87792545365853658" u="1"/>
        <n v="0.98006093333333333" u="1"/>
        <n v="0.44733333333333336" u="1"/>
        <n v="0.55060624444444473" u="1"/>
        <n v="0.76019689756097553" u="1"/>
        <n v="0.82755897739611095" u="1"/>
        <n v="0.53351226856410261" u="1"/>
        <n v="0.65479635294117655" u="1"/>
        <n v="0.87562925673674863" u="1"/>
        <n v="0.47690096111111102" u="1"/>
        <n v="7.5839999999999991E-2" u="1"/>
        <n v="0.69604574634146343" u="1"/>
        <n v="0.82946607222222235" u="1"/>
        <n v="0.75186840975609759" u="1"/>
        <n v="0.85059071052631607" u="1"/>
        <n v="0.91333530747211533" u="1"/>
        <n v="0.26096037000000011" u="1"/>
        <n v="0.54640555437948712" u="1"/>
        <n v="0.67942602325581392" u="1"/>
        <n v="0.86747278048780496" u="1"/>
        <n v="0.38190768899999994" u="1"/>
        <n v="0.14382618399999952" u="1"/>
        <n v="0.70417325581395351" u="1"/>
        <n v="0.22238255882353292" u="1"/>
        <n v="0.60541945000000008" u="1"/>
        <n v="0.17193625600000012" u="1"/>
        <n v="0.37137606699999792" u="1"/>
        <n v="0.92953651162790696" u="1"/>
        <n v="0.12839258199999951" u="1"/>
        <n v="0.80465896752541699" u="1"/>
        <n v="0.71213627906976751" u="1"/>
        <n v="0.46898594117647063" u="1"/>
        <n v="0.93993606315789469" u="1"/>
        <n v="0.182" u="1"/>
        <n v="0.82972509444444453" u="1"/>
        <n v="0.45866666666666667" u="1"/>
        <n v="0.89043529760142137" u="1"/>
        <n v="0.53355699444444449" u="1"/>
        <n v="7.5999999999999998E-2" u="1"/>
        <n v="0.99054626666666667" u="1"/>
        <n v="0.49333333333333335" u="1"/>
        <n v="0.78175895765472314" u="1"/>
        <n v="0.88908206976744186" u="1"/>
        <n v="8.4666666666666668E-2" u="1"/>
        <n v="0.27819835294117651" u="1"/>
        <n v="0.75318697674418611" u="1"/>
        <n v="0.65466666666666662" u="1"/>
        <n v="0.67308261770802491" u="1"/>
        <n v="0.69193564307570821" u="1"/>
        <n v="0.1915904100000001" u="1"/>
        <n v="0.60421414634146342" u="1"/>
        <n v="0.55955778333333328" u="1"/>
        <n v="0.96483388292682926" u="1"/>
        <n v="0.96367460000000005" u="1"/>
        <n v="0.16945298999999978" u="1"/>
        <n v="0.1694529899999998" u="1"/>
        <n v="0.93335325581395345" u="1"/>
        <n v="0.53566551712820509" u="1"/>
        <n v="0.79200372093023252" u="1"/>
        <n v="0.70882023255813953" u="1"/>
        <n v="0.79451009302325581" u="1"/>
        <n v="0.80071906976744189" u="1"/>
        <n v="0.85728581395348846" u="1"/>
        <n v="0.59383431957894739" u="1"/>
        <n v="0.73982262439024382" u="1"/>
        <n v="0.68921072195121946" u="1"/>
        <n v="0.74471083902439006" u="1"/>
        <n v="0.5500437944444444" u="1"/>
        <n v="0.78830625581395342" u="1"/>
        <n v="0.7709323023255813" u="1"/>
        <n v="0.1341093000000004" u="1"/>
        <n v="0.7973754146341463" u="1"/>
        <n v="0.53195169444444457" u="1"/>
        <n v="0.88474614444444455" u="1"/>
        <n v="0.14605662999999999" u="1"/>
        <n v="0.46583292484210537" u="1"/>
        <n v="0.49793822063157889" u="1"/>
        <n v="0.11000874120000001" u="1"/>
        <n v="0.18558588000000001" u="1"/>
        <n v="0.35344627999999839" u="1"/>
        <n v="0.2307240800000003" u="1"/>
        <n v="0.28267250599999882" u="1"/>
        <n v="0.31333333333333335" u="1"/>
        <n v="0.87766753333333292" u="1"/>
        <n v="0.92065976744186051" u="1"/>
        <n v="0.79940308947368421" u="1"/>
        <n v="0.56164326111111107" u="1"/>
        <n v="0.52297585555555548" u="1"/>
        <n v="0.79637648837209307" u="1"/>
        <n v="0.34799999999999998" u="1"/>
        <n v="0.72148149417894747" u="1"/>
        <n v="0.91175599644655014" u="1"/>
        <n v="0.9802789789473686" u="1"/>
        <n v="0.84789186046511622" u="1"/>
        <n v="0.14277762699999952" u="1"/>
        <n v="0.16866666666666666" u="1"/>
        <n v="0.78422663113216862" u="1"/>
        <n v="9.4541060000000149E-2" u="1"/>
        <n v="0.93945997674418613" u="1"/>
        <n v="0.83654130885401246" u="1"/>
        <n v="0.6719450588235294" u="1"/>
        <n v="0.85033994999999996" u="1"/>
        <n v="0.94547905365853624" u="1"/>
        <n v="0.79202206976744183" u="1"/>
        <n v="0.25836513399999989" u="1"/>
        <n v="0.75911395348837207" u="1"/>
        <n v="0.88885598657585629" u="1"/>
        <n v="0.97874773333333331" u="1"/>
        <n v="0.90346461356233343" u="1"/>
        <n v="0.92231763893001673" u="1"/>
        <n v="0.96787066666666666" u="1"/>
        <n v="0.77262284878048804" u="1"/>
        <n v="0.81035141463414628" u="1"/>
        <n v="0.63084629789473678" u="1"/>
        <n v="0.79903267199684136" u="1"/>
        <n v="0.17267797600000045" u="1"/>
        <n v="0.86169744186046515" u="1"/>
        <n v="0.11039376000000001" u="1"/>
        <n v="0.88271678947368437" u="1"/>
        <n v="0.93673753333333332" u="1"/>
        <n v="0.46985432276923061" u="1"/>
        <n v="0.64733333333333332" u="1"/>
        <n v="0.36159611696116506" u="1"/>
        <n v="0.64777116279069769" u="1"/>
        <n v="0.77397268315789491" u="1"/>
        <n v="0.89410000000000001" u="1"/>
        <n v="0.39741335349514578" u="1"/>
        <n v="0.38665957099999859" u="1"/>
        <n v="0.91827065442700617" u="1"/>
        <n v="0.8779946279069768" u="1"/>
        <n v="0.86389162790697671" u="1"/>
        <n v="0.92157048692631549" u="1"/>
        <n v="0.93712367979468958" u="1"/>
        <n v="0.30054547058823528" u="1"/>
        <n v="0.88752837209302327" u="1"/>
        <n v="0.64201236589473676" u="1"/>
        <n v="0.88282625581395346" u="1"/>
        <n v="0.95173230678116671" u="1"/>
        <n v="0.56163855555555553" u="1"/>
        <n v="0.84580067777777779" u="1"/>
        <n v="0.97058533214885001" u="1"/>
        <n v="0.68079618536585362" u="1"/>
        <n v="0.40102170588235292" u="1"/>
        <n v="0.50646108421052616" u="1"/>
        <n v="0.16174933999999999" u="1"/>
        <n v="0.56313982352941183" u="1"/>
        <n v="0.13620463000000002" u="1"/>
        <n v="0.92162759999999999" u="1"/>
        <n v="0.89537064455631232" u="1"/>
        <n v="0.65572927906976752" u="1"/>
        <n v="0.56658841666666648" u="1"/>
        <n v="0.92883229691047275" u="1"/>
        <n v="0.51510348837209308" u="1"/>
        <n v="0.23099435294117648" u="1"/>
        <n v="0.37066666666666664" u="1"/>
        <n v="0.64156852941176468" u="1"/>
        <n v="0.33958941176470592" u="1"/>
        <n v="0.9350075317073171" u="1"/>
        <n v="0.96312031111111107" u="1"/>
        <n v="0.41433780421359212" u="1"/>
        <n v="0.50589748355789488" u="1"/>
        <n v="0.98291813953488372" u="1"/>
        <n v="0.99123992195121979" u="1"/>
        <n v="0.76481794117647051" u="1"/>
        <n v="0.9735974833333334" u="1"/>
        <n v="0.62631775578947357" u="1"/>
        <n v="0.90593228703977891" u="1"/>
        <n v="0.74648083168421064" u="1"/>
        <n v="0.9366843777777768" u="1"/>
        <n v="0.65333860465116289" u="1"/>
        <n v="0.72756774831578941" u="1"/>
        <n v="0.65447574448421064" u="1"/>
        <n v="0.72850965853658534" u="1"/>
        <n v="0.25189091999999996" u="1"/>
        <n v="0.80150034547428683" u="1"/>
        <n v="0.23200000000000001" u="1"/>
        <n v="0.91916865069473697" u="1"/>
        <n v="0.36446413999999833" u="1"/>
        <n v="0.38366288990291264" u="1"/>
        <n v="0.36446413999999849" u="1"/>
        <n v="0.57782115000000001" u="1"/>
        <n v="0.83496199782844738" u="1"/>
        <n v="0.90346935609756085" u="1"/>
        <n v="0.38780779368932039" u="1"/>
        <n v="0.99331661463414622" u="1"/>
        <n v="0.84957062481492451" u="1"/>
        <n v="0.96699171250526306" u="1"/>
        <n v="0.85555122222222235" u="1"/>
        <n v="0.45073306757894727" u="1"/>
        <n v="0.33266666666666667" u="1"/>
        <n v="0.98468581395348842" u="1"/>
        <n v="0.78325139534883725" u="1"/>
        <n v="0.92073832790445165" u="1"/>
        <n v="0.59399999999999997" u="1"/>
        <n v="0.21170181200000018" u="1"/>
        <n v="0.92291686111111026" u="1"/>
        <n v="0.95419998025861219" u="1"/>
        <n v="0.92820439534883714" u="1"/>
        <n v="0.97925671219512189" u="1"/>
        <n v="0.80159395121951216" u="1"/>
        <n v="0.79747531707317076" u="1"/>
        <n v="0.71352579069767441" u="1"/>
        <n v="0.38431672324271843" u="1"/>
        <n v="0.51055474995789463" u="1"/>
        <n v="0.57066666666666666" u="1"/>
        <n v="0.61604789268292681" u="1"/>
        <n v="0.76178894117655527" u="1"/>
        <n v="0.84600297222222209" u="1"/>
        <n v="0.19475721200000046" u="1"/>
        <n v="0.76168975609756084" u="1"/>
        <n v="0.77328164878048788" u="1"/>
        <n v="0.91669134340144109" u="1"/>
        <n v="0.64" u="1"/>
        <n v="0.77455335110058232" u="1"/>
        <n v="0.21836744199999999" u="1"/>
        <n v="0.37711954614563115" u="1"/>
        <n v="0.707179046511628" u="1"/>
      </sharedItems>
    </cacheField>
    <cacheField name="Estimated Unoccupied CBM" numFmtId="0">
      <sharedItems containsString="0" containsBlank="1" containsNumber="1" minValue="0" maxValue="10756.328100000001"/>
    </cacheField>
    <cacheField name="Forecasted occupancy CBM" numFmtId="0">
      <sharedItems containsNonDate="0" containsString="0" containsBlank="1"/>
    </cacheField>
    <cacheField name="Sellable CBM" numFmtId="0">
      <sharedItems containsSemiMixedTypes="0" containsString="0" containsNumber="1" minValue="0" maxValue="11176.328100000001"/>
    </cacheField>
    <cacheField name="DC2" numFmtId="0">
      <sharedItems/>
    </cacheField>
    <cacheField name="measurement" numFmtId="0">
      <sharedItems/>
    </cacheField>
    <cacheField name="Capacity" numFmtId="0">
      <sharedItems containsSemiMixedTypes="0" containsString="0" containsNumber="1" containsInteger="1" minValue="100" maxValue="21000"/>
    </cacheField>
    <cacheField name="Sqft" numFmtId="0">
      <sharedItems containsSemiMixedTypes="0" containsString="0" containsNumber="1" containsInteger="1" minValue="0" maxValue="24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hruhan Sivalogithan" refreshedDate="45128.407611805553" createdVersion="5" refreshedVersion="8" minRefreshableVersion="3" recordCount="7" xr:uid="{00000000-000A-0000-FFFF-FFFF60000000}">
  <cacheSource type="worksheet">
    <worksheetSource ref="A14:I21" sheet="100% Occupancy"/>
  </cacheSource>
  <cacheFields count="9">
    <cacheField name="DC" numFmtId="0">
      <sharedItems count="10">
        <s v="Orugodawatta DC"/>
        <s v="Orugodawatta DC Cold Room "/>
        <s v="Peliyagoda DC"/>
        <s v="Expo Global Freeport "/>
        <s v="Hirdaramani Knit Client Warehouse"/>
        <s v="Hirdaramani Woven Client Warehouse "/>
        <s v="Kandana DC"/>
        <s v="Cold Room Orugodawatta DC" u="1"/>
        <s v="Expo Global Freeport -  Mercury Plant" u="1"/>
        <s v="Expo Global Freeport -  Hidramani Woven" u="1"/>
      </sharedItems>
    </cacheField>
    <cacheField name="Occupancy" numFmtId="164">
      <sharedItems containsSemiMixedTypes="0" containsString="0" containsNumber="1" minValue="39.439366699999859" maxValue="9403.6718999999994"/>
    </cacheField>
    <cacheField name="Utilization %" numFmtId="0">
      <sharedItems containsSemiMixedTypes="0" containsString="0" containsNumber="1" minValue="0.03" maxValue="1.0290069767441858" count="2018">
        <n v="0.53968139294174766"/>
        <n v="0.39439366699999856"/>
        <n v="0.630550331707317"/>
        <n v="0.44779389999999997"/>
        <n v="0.03"/>
        <n v="0.75438162790697672"/>
        <n v="1"/>
        <n v="0.47402627550485449" u="1"/>
        <n v="0.95413267222222242" u="1"/>
        <n v="0.70525527222222217" u="1"/>
        <n v="0.83788279069767446" u="1"/>
        <n v="0.91828299999999996" u="1"/>
        <n v="0.94653756111110687" u="1"/>
        <n v="0.80551395348837207" u="1"/>
        <n v="0.15258282199999995" u="1"/>
        <n v="0.64514069767441862" u="1"/>
        <n v="0.53408324652631578" u="1"/>
        <n v="0.64179782222222226" u="1"/>
        <n v="0.75309375000000023" u="1"/>
        <n v="0.33154387000000013" u="1"/>
        <n v="0.16190929411764299" u="1"/>
        <n v="0.2274581764705883" u="1"/>
        <n v="0.19138970588235291" u="1"/>
        <n v="0.62742079914736837" u="1"/>
        <n v="0.22919664999999981" u="1"/>
        <n v="0.63392138863157899" u="1"/>
        <n v="0.17849410000000007" u="1"/>
        <n v="0.81528441860465117" u="1"/>
        <n v="0.95059071052631616" u="1"/>
        <n v="0.89770681666666663" u="1"/>
        <n v="0.51913118888888887" u="1"/>
        <n v="0.57099023888888889" u="1"/>
        <n v="0.26072408000000025" u="1"/>
        <n v="0.70715473170731713" u="1"/>
        <n v="0.12019115999999912" u="1"/>
        <n v="0.12019115999999926" u="1"/>
        <n v="0.3281983529411765" u="1"/>
        <n v="0.95345487039999988" u="1"/>
        <n v="0.83230720975609762" u="1"/>
        <n v="0.268067" u="1"/>
        <n v="0.91116331707317066" u="1"/>
        <n v="0.91053348837209303" u="1"/>
        <n v="0.99447368421052651" u="1"/>
        <n v="0.9183059388888889" u="1"/>
        <n v="0.99987746341463424" u="1"/>
        <n v="0.20804678199999999" u="1"/>
        <n v="0.59098257777777785" u="1"/>
        <n v="0.32449358823529406" u="1"/>
        <n v="0.60351226856410267" u="1"/>
        <n v="0.22259005882352995" u="1"/>
        <n v="0.8747979069767442" u="1"/>
        <n v="0.92498418604651156" u="1"/>
        <n v="0.67249348837209311" u="1"/>
        <n v="0.92196146666666667" u="1"/>
        <n v="0.61640555437948708" u="1"/>
        <n v="0.23343414800000076" u="1"/>
        <n v="0.64786906976744185" u="1"/>
        <n v="0.80094139534883713" u="1"/>
        <n v="0.73018255813953481" u="1"/>
        <n v="0.84799627906976749" u="1"/>
        <n v="0.13716012000000005" u="1"/>
        <n v="0.88456837209302319" u="1"/>
        <n v="0.13071930000000009" u="1"/>
        <n v="0.77068883720930237" u="1"/>
        <n v="0.85084186046511623" u="1"/>
        <n v="0.45901608106796116" u="1"/>
        <n v="0.91318452682926821" u="1"/>
        <n v="0.68597750000000002" u="1"/>
        <n v="0.84565093023255811" u="1"/>
        <n v="0.9040355813953489" u="1"/>
        <n v="0.73193953488372099" u="1"/>
        <n v="0.29547941176470593" u="1"/>
        <n v="0.14178305399999999" u="1"/>
        <n v="0.53723389915789477" u="1"/>
        <n v="0.32289476999999978" u="1"/>
        <n v="0.32553417647058924" u="1"/>
        <n v="0.86037069767441865" u="1"/>
        <n v="0.8969209069767442" u="1"/>
        <n v="0.9613025170731706" u="1"/>
        <n v="0.99531140000000007" u="1"/>
        <n v="0.76065160975609758" u="1"/>
        <n v="0.55866186111111105" u="1"/>
        <n v="0.93444030555555524" u="1"/>
        <n v="0.11813476470588097" u="1"/>
        <n v="0.85356372093023258" u="1"/>
        <n v="0.85169534883720932" u="1"/>
        <n v="0.11813476470588111" u="1"/>
        <n v="0.93030228333333309" u="1"/>
        <n v="0.88814893333333333" u="1"/>
        <n v="0.95639024390243899" u="1"/>
        <n v="0.98271678947368435" u="1"/>
        <n v="0.61537497222222237" u="1"/>
        <n v="0.7278990243902439" u="1"/>
        <n v="0.28411332999999983" u="1"/>
        <n v="0.72210346511627899" u="1"/>
        <n v="0.97372369756097565" u="1"/>
        <n v="0.23054017999999957" u="1"/>
        <n v="0.23054017999999971" u="1"/>
        <n v="0.35054547058823532" u="1"/>
        <n v="0.45102170588235296" u="1"/>
        <n v="0.9803930666666667" u="1"/>
        <n v="0.1514085" u="1"/>
        <n v="0.31448611799999865" u="1"/>
        <n v="0.56209332777777798" u="1"/>
        <n v="0.46773023950485426" u="1"/>
        <n v="0.81564701463414635" u="1"/>
        <n v="0.19180891000000089" u="1"/>
        <n v="0.67353082777777795" u="1"/>
        <n v="0.58639341666666644" u="1"/>
        <n v="0.38958941176470596" u="1"/>
        <n v="0.98903933333333338" u="1"/>
        <n v="0.95365069767441868" u="1"/>
        <n v="0.50834940555555552" u="1"/>
        <n v="0.98993069767441866" u="1"/>
        <n v="0.87949434146341454" u="1"/>
        <n v="0.70084629789473685" u="1"/>
        <n v="0.60567754444444433" u="1"/>
        <n v="0.88353206976744181" u="1"/>
        <n v="0.91796558139534878" u="1"/>
        <n v="0.47133873361165046" u="1"/>
        <n v="0.99169333333333087" u="1"/>
        <n v="0.84397268315789498" u="1"/>
        <n v="0.42458241176470596" u="1"/>
        <n v="0.44722094117647054" u="1"/>
        <n v="0.78710576585365843" u="1"/>
        <n v="0.7749374634146341" u="1"/>
        <n v="0.89380139534883718" u="1"/>
        <n v="0.78238145365853651" u="1"/>
        <n v="0.71201236589473682" u="1"/>
        <n v="0.72955356097560975" u="1"/>
        <n v="0.9150528" u="1"/>
        <n v="0.57880239917948706" u="1"/>
        <n v="0.85427413658536588" u="1"/>
        <n v="0.74008906341463421" u="1"/>
        <n v="0.46909935449514562" u="1"/>
        <n v="0.9755911666666669" u="1"/>
        <n v="0.85363209756097558" u="1"/>
        <n v="0.12084003999999922" u="1"/>
        <n v="0.73407667317073177" u="1"/>
        <n v="0.88127604651162794" u="1"/>
        <n v="0.75651670588235298" u="1"/>
        <n v="0.45857239233009717" u="1"/>
        <n v="0.96688600555555548" u="1"/>
        <n v="0.83321092222222215" u="1"/>
        <n v="0.60566611111111102" u="1"/>
        <n v="0.69631775578947364" u="1"/>
        <n v="0.93622202926829268" u="1"/>
        <n v="0.96927546666666664" u="1"/>
        <n v="0.94750078333333332" u="1"/>
        <n v="0.72447574448421059" u="1"/>
        <n v="0.79756774831578947" u="1"/>
        <n v="0.76891186046511628" u="1"/>
        <n v="0.40254294999999807" u="1"/>
        <n v="0.98916865069473692" u="1"/>
        <n v="0.83948581395348842" u="1"/>
        <n v="0.98999428888888885" u="1"/>
        <n v="0.83811375609756111" u="1"/>
        <n v="0.95427058947368415" u="1"/>
        <n v="0.4919244096116504" u="1"/>
        <n v="0.98939775789473694" u="1"/>
        <n v="0.96095260487804857" u="1"/>
        <n v="0.81820723529411765" u="1"/>
        <n v="0.59050100000000227" u="1"/>
        <n v="0.59480418888888886" u="1"/>
        <n v="0.8294969767441861" u="1"/>
        <n v="0.75970311219512188" u="1"/>
        <n v="0.85848743611111145" u="1"/>
        <n v="0.97242868333333332" u="1"/>
        <n v="0.63608018536585365" u="1"/>
        <n v="0.67734635121951214" u="1"/>
        <n v="0.88864579069767435" u="1"/>
        <n v="0.32390344799999965" u="1"/>
        <n v="0.75128090697674421" u="1"/>
        <n v="0.88893812777777781" u="1"/>
        <n v="0.6447241860465116" u="1"/>
        <n v="0.95808743333333246" u="1"/>
        <n v="0.93669415000000011" u="1"/>
        <n v="0.80087065365853649" u="1"/>
        <n v="0.68623828333333337" u="1"/>
        <n v="0.4508922466504855" u="1"/>
        <n v="0.7417361951219511" u="1"/>
        <n v="0.77070252682926832" u="1"/>
        <n v="0.62116641666666661" u="1"/>
        <n v="0.6255786938842105" u="1"/>
        <n v="0.98990903157894738" u="1"/>
        <n v="0.81917053658536576" u="1"/>
        <n v="0.84090575609756091" u="1"/>
        <n v="0.54074603333333315" u="1"/>
        <n v="0.39474811764706336" u="1"/>
        <n v="0.82406532222222206" u="1"/>
        <n v="0.92634079894736854" u="1"/>
        <n v="0.66924887804878042" u="1"/>
        <n v="0.78628673170731722" u="1"/>
        <n v="0.84008720930232561" u="1"/>
        <n v="0.86815053658536601" u="1"/>
        <n v="0.98564525277777693" u="1"/>
        <n v="0.98887395136842104" u="1"/>
        <n v="0.82187594117647067" u="1"/>
        <n v="0.13099823999999985" u="1"/>
        <n v="0.94734653333333341" u="1"/>
        <n v="0.55554365425263164" u="1"/>
        <n v="0.83255814634146341" u="1"/>
        <n v="0.45534117647058825" u="1"/>
        <n v="0.96281922777777784" u="1"/>
        <n v="0.91826488372093029" u="1"/>
        <n v="0.69970369767441853" u="1"/>
        <n v="0.37010588235294106" u="1"/>
        <n v="0.48252500050485431" u="1"/>
        <n v="0.68049833894736822" u="1"/>
        <n v="0.47376325613592229" u="1"/>
        <n v="0.88600775555555566" u="1"/>
        <n v="0.23281918199999965" u="1"/>
        <n v="0.52620756231578936" u="1"/>
        <n v="0.74787813550526328" u="1"/>
        <n v="0.81762466944444467" u="1"/>
        <n v="0.19605662999999993" u="1"/>
        <n v="0.36732348699999873" u="1"/>
        <n v="0.78071823414634134" u="1"/>
        <n v="0.98093365263157883" u="1"/>
        <n v="0.23558588" u="1"/>
        <n v="0.13742979999999988" u="1"/>
        <n v="0.98133113953488371" u="1"/>
        <n v="0.9824573333333334" u="1"/>
        <n v="0.63179558139534886" u="1"/>
        <n v="0.98380453333333329" u="1"/>
        <n v="0.99094126829268281" u="1"/>
        <n v="0.53443297777777787" u="1"/>
        <n v="0.29967367499999836" u="1"/>
        <n v="0.59812937777777764" u="1"/>
        <n v="0.67030146341463415" u="1"/>
        <n v="0.98748139534883728" u="1"/>
        <n v="0.89563091707317055" u="1"/>
        <n v="0.46975606019417482" u="1"/>
        <n v="0.99117395348837201" u="1"/>
        <n v="0.74781602842105266" u="1"/>
        <n v="0.85806099999999996" u="1"/>
        <n v="0.42472775229126208" u="1"/>
        <n v="0.65669927747368417" u="1"/>
        <n v="0.80670594117653982" u="1"/>
        <n v="0.98321873170731688" u="1"/>
        <n v="0.65691418604651164" u="1"/>
        <n v="0.61919490469473693" u="1"/>
        <n v="0.32882061699999982" u="1"/>
        <n v="0.95862023255813955" u="1"/>
        <n v="0.9827589473684214" u="1"/>
        <n v="0.84690116279069771" u="1"/>
        <n v="0.78994733888888924" u="1"/>
        <n v="0.94748666666666659" u="1"/>
        <n v="0.86891101463414644" u="1"/>
        <n v="0.2224274100000001" u="1"/>
        <n v="0.55887909990769236" u="1"/>
        <n v="0.86631840555555573" u="1"/>
        <n v="0.21174934000000001" u="1"/>
        <n v="0.21174934000000006" u="1"/>
        <n v="0.18620463000000001" u="1"/>
        <n v="0.8535131609756097" u="1"/>
        <n v="0.58771052941176471" u="1"/>
        <n v="0.41259625999999988" u="1"/>
        <n v="0.99022095555555567" u="1"/>
        <n v="0.37410011764705881" u="1"/>
        <n v="0.22384784999999993" u="1"/>
        <n v="0.14555529000000023" u="1"/>
        <n v="0.92444125853658521" u="1"/>
        <n v="0.62927269444444445" u="1"/>
        <n v="0.62884005882356231" u="1"/>
        <n v="0.13098224000000003" u="1"/>
        <n v="0.73239882926829269" u="1"/>
        <n v="0.53999811666666675" u="1"/>
        <n v="0.93606773333333326" u="1"/>
        <n v="0.98415449873684224" u="1"/>
        <n v="0.90773924444444443" u="1"/>
        <n v="0.60219511627906974" u="1"/>
        <n v="0.80362953488372091" u="1"/>
        <n v="0.18746932352940696" u="1"/>
        <n v="0.38859447058823526" u="1"/>
        <n v="0.85710758823538769" u="1"/>
        <n v="0.30528348699999897" u="1"/>
        <n v="0.97495548333333359" u="1"/>
        <n v="0.18567021499999994" u="1"/>
        <n v="0.96362674418604632" u="1"/>
        <n v="0.9767089951219512" u="1"/>
        <n v="0.74815800000007093" u="1"/>
        <n v="0.53443187222222199" u="1"/>
        <n v="0.94079978333333281" u="1"/>
        <n v="0.60566551712820516" u="1"/>
        <n v="0.94636146666666654" u="1"/>
        <n v="0.68171941463414631" u="1"/>
        <n v="0.64336546341463419" u="1"/>
        <n v="0.98821502777777748" u="1"/>
        <n v="0.23159517647058825" u="1"/>
        <n v="0.66383431957894734" u="1"/>
        <n v="0.99485160465116274" u="1"/>
        <n v="0.71906672093023249" u="1"/>
        <n v="0.84923128888888899" u="1"/>
        <n v="0.15" u="1"/>
        <n v="0.88555651162790694" u="1"/>
        <n v="0.63862788372093027" u="1"/>
        <n v="0.98675421052631573" u="1"/>
        <n v="0.39171852941176466" u="1"/>
        <n v="0.88656854378947381" u="1"/>
        <n v="0.21153152941176465" u="1"/>
        <n v="0.52647046511627904" u="1"/>
        <n v="0.86940308947368417" u="1"/>
        <n v="0.59971851052631586" u="1"/>
        <n v="0.88295221111111144" u="1"/>
        <n v="0.38331764705882343" u="1"/>
        <n v="0.99347078333333294" u="1"/>
        <n v="0.12584000000000004" u="1"/>
        <n v="0.66294524589473669" u="1"/>
        <n v="0.77290023255813955" u="1"/>
        <n v="0.85966721666666679" u="1"/>
        <n v="0.248082785" u="1"/>
        <n v="0.56060345555555569" u="1"/>
        <n v="0.58731296666666655" u="1"/>
        <n v="0.82508702439024384" u="1"/>
        <n v="0.15249035294117649" u="1"/>
        <n v="0.56120682352941176" u="1"/>
        <n v="0.15869451999999995" u="1"/>
        <n v="0.17757055882352421" u="1"/>
        <n v="0.65538670555555578" u="1"/>
        <n v="0.94734384444444353" u="1"/>
        <n v="0.55846523251282032" u="1"/>
        <n v="0.15277026000000007" u="1"/>
        <n v="0.48433780421359213" u="1"/>
        <n v="0.16010234000000081" u="1"/>
        <n v="0.90191833285263168" u="1"/>
        <n v="0.96072466666666667" u="1"/>
        <n v="0.66744008780487807" u="1"/>
        <n v="0.12735702000000004" u="1"/>
        <n v="0.97278718604651149" u="1"/>
        <n v="0.37347058823529417" u="1"/>
        <n v="0.69838116097560976" u="1"/>
        <n v="0.79038955121951227" u="1"/>
        <n v="0.94527531111111074" u="1"/>
        <n v="0.58363339444444462" u="1"/>
        <n v="0.85245452941186295" u="1"/>
        <n v="0.79490393800000014" u="1"/>
        <n v="0.17788426470587718" u="1"/>
        <n v="0.99147893333333326" u="1"/>
        <n v="0.55955097222222205" u="1"/>
        <n v="0.67650209302325581" u="1"/>
        <n v="0.88180487804878049" u="1"/>
        <n v="0.94605435789473691" u="1"/>
        <n v="0.8841993023255813" u="1"/>
        <n v="0.13801755200000046" u="1"/>
        <n v="0.57646108421052622" u="1"/>
        <n v="0.81020174634146325" u="1"/>
        <n v="0.8961178666666666" u="1"/>
        <n v="0.77154407011578963" u="1"/>
        <n v="0.21873604500000085" u="1"/>
        <n v="0.94615372777777784" u="1"/>
        <n v="0.99233680000000002" u="1"/>
        <n v="0.98182720930232559" u="1"/>
        <n v="0.60110500967368419" u="1"/>
        <n v="0.16039376000000005" u="1"/>
        <n v="0.92992395348837209" u="1"/>
        <n v="0.31957855699999871" u="1"/>
        <n v="0.21509226470588053" u="1"/>
        <n v="0.76739023255813954" u="1"/>
        <n v="0.8181287707317072" u="1"/>
        <n v="0.2164313800000012" u="1"/>
        <n v="0.89391930232558137" u="1"/>
        <n v="0.97807631666666672" u="1"/>
        <n v="0.82264711764705878" u="1"/>
        <n v="0.57589748355789483" u="1"/>
        <n v="0.8099691338736843" u="1"/>
        <n v="0.55343625901052618" u="1"/>
        <n v="0.88050697674418599" u="1"/>
        <n v="0.32877886999999989" u="1"/>
        <n v="0.68941494117649382" u="1"/>
        <n v="0.90815244444444443" u="1"/>
        <n v="0.25013024999999828" u="1"/>
        <n v="0.81648083168421071" u="1"/>
        <n v="0.91812904651162797" u="1"/>
        <n v="0.20096970588235294" u="1"/>
        <n v="0.54656533888888881" u="1"/>
        <n v="0.96532893333333325" u="1"/>
        <n v="0.93591790697674426" u="1"/>
        <n v="0.93862100000000026" u="1"/>
        <n v="0.69352325581395347" u="1"/>
        <n v="0.88740027368421048" u="1"/>
        <n v="0.97116959999999986" u="1"/>
        <n v="0.53181041176470922" u="1"/>
        <n v="0.93407320000000005" u="1"/>
        <n v="0.31070486000000019" u="1"/>
        <n v="0.24331664999999986" u="1"/>
        <n v="0.98878666666666115" u="1"/>
        <n v="0.97628099444444438" u="1"/>
        <n v="0.38023058823529415" u="1"/>
        <n v="0.21711311764705885" u="1"/>
        <n v="0.89761209302325584" u="1"/>
        <n v="0.97222873170731705" u="1"/>
        <n v="0.80551108888888889" u="1"/>
        <n v="0.8378300167368421" u="1"/>
        <n v="0.67077688873684216" u="1"/>
        <n v="0.77195150243902455" u="1"/>
        <n v="0.47064672897087378" u="1"/>
        <n v="0.58055474995789458" u="1"/>
        <n v="0.93390925853658535" u="1"/>
        <n v="0.32636829411764706" u="1"/>
        <n v="0.79903023255813954" u="1"/>
        <n v="0.56573539444444454" u="1"/>
        <n v="0.70742893333333323" u="1"/>
        <n v="0.45210603044660197" u="1"/>
        <n v="0.66928695348837208" u="1"/>
        <n v="0.69119488372093019" u="1"/>
        <n v="0.98001006315789463" u="1"/>
        <n v="0.98782308292682919" u="1"/>
        <n v="0.45815416262135927" u="1"/>
        <n v="0.83944920000000012" u="1"/>
        <n v="0.96084678333333351" u="1"/>
        <n v="0.75354111764712806" u="1"/>
        <n v="0.57678913888888883" u="1"/>
        <n v="0.87280526829268301" u="1"/>
        <n v="0.97465810526315799" u="1"/>
        <n v="0.47812581054368924" u="1"/>
        <n v="0.76646497560975613" u="1"/>
        <n v="0.94461139999999999" u="1"/>
        <n v="0.21524488235294109" u="1"/>
        <n v="0.7864802146341463" u="1"/>
        <n v="0.79761892682926827" u="1"/>
        <n v="0.43020360496116516" u="1"/>
        <n v="0.70312581395348828" u="1"/>
        <n v="0.68140790697674425" u="1"/>
        <n v="0.91338959601052649" u="1"/>
        <n v="0.58366437052631592" u="1"/>
        <n v="0.12982147999999996" u="1"/>
        <n v="0.71368548333333337" u="1"/>
        <n v="0.90876330555555573" u="1"/>
        <n v="0.96260571388888816" u="1"/>
        <n v="0.72521372093023251" u="1"/>
        <n v="0.71367023529416629" u="1"/>
        <n v="0.68813647243157894" u="1"/>
        <n v="0.71962047804878049" u="1"/>
        <n v="0.97488184999999961" u="1"/>
        <n v="0.93669079999999993" u="1"/>
        <n v="0.67213708333333344" u="1"/>
        <n v="0.32275401399999981" u="1"/>
        <n v="0.98076986666666677" u="1"/>
        <n v="0.73866788235300851" u="1"/>
        <n v="0.7435536976744187" u="1"/>
        <n v="0.82462641176478757" u="1"/>
        <n v="0.57411598888888882" u="1"/>
        <n v="0.50690096111111105" u="1"/>
        <n v="0.98518146666666662" u="1"/>
        <n v="0.25792493500000035" u="1"/>
        <n v="0.52992942547368427" u="1"/>
        <n v="0.72327837209302326" u="1"/>
        <n v="0.32991023529411773" u="1"/>
        <n v="0.80318976744186044" u="1"/>
        <n v="0.16060720000000103" u="1"/>
        <n v="0.54987997222222207" u="1"/>
        <n v="0.6493209302325581" u="1"/>
        <n v="0.96605961052631584" u="1"/>
        <n v="0.16060720000000131" u="1"/>
        <n v="0.43995317647058824" u="1"/>
        <n v="0.77891843902439029" u="1"/>
        <n v="0.95381581395348825" u="1"/>
        <n v="0.68394991111111125" u="1"/>
        <n v="0.93120292115789471" u="1"/>
        <n v="0.74464213658536582" u="1"/>
        <n v="0.26977417647059421" u="1"/>
        <n v="0.47621458922330101" u="1"/>
        <n v="0.73359528265263152" u="1"/>
        <n v="0.17342412699999954" u="1"/>
        <n v="0.13776784600000014" u="1"/>
        <n v="0.98168008421052622" u="1"/>
        <n v="0.71560807222222234" u="1"/>
        <n v="0.95906737566315803" u="1"/>
        <n v="0.57964278082051257" u="1"/>
        <n v="0.97877213333333324" u="1"/>
        <n v="0.98578317073170729" u="1"/>
        <n v="0.35909813953488379" u="1"/>
        <n v="0.22492827399999998" u="1"/>
        <n v="0.90655930232558135" u="1"/>
        <n v="0.97252253333333327" u="1"/>
        <n v="0.71494164878048783" u="1"/>
        <n v="0.43808626650485433" u="1"/>
        <n v="0.45194168539805829" u="1"/>
        <n v="0.32866250699999883" u="1"/>
        <n v="0.68062887777777781" u="1"/>
        <n v="0.77588847804878036" u="1"/>
        <n v="0.79904546341463423" u="1"/>
        <n v="0.93957348837209309" u="1"/>
        <n v="0.95929279999999995" u="1"/>
        <n v="0.96961079999999999" u="1"/>
        <n v="0.68650475663157895" u="1"/>
        <n v="0.97834412631578915" u="1"/>
        <n v="0.63715207810526331" u="1"/>
        <n v="0.75572595121951203" u="1"/>
        <n v="0.97275581395348842" u="1"/>
        <n v="0.6186280316526318" u="1"/>
        <n v="0.55753239444444447" u="1"/>
        <n v="0.70390488235298343" u="1"/>
        <n v="0.84218432777777763" u="1"/>
        <n v="0.82179882926829284" u="1"/>
        <n v="0.68152209302325584" u="1"/>
        <n v="0.81489741860465115" u="1"/>
        <n v="0.99036567804878051" u="1"/>
        <n v="0.78898253488372083" u="1"/>
        <n v="0.99039710243902446" u="1"/>
        <n v="0.83828697674418606" u="1"/>
        <n v="0.18567813" u="1"/>
        <n v="0.50072016694736832" u="1"/>
        <n v="0.69317767441860467" u="1"/>
        <n v="0.28881223529412647" u="1"/>
        <n v="0.70417116279069769" u="1"/>
        <n v="0.72431834883720936" u="1"/>
        <n v="0.93809880000000001" u="1"/>
        <n v="0.20103505882352934" u="1"/>
        <n v="0.79211906976744184" u="1"/>
        <n v="0.48489500000000002" u="1"/>
        <n v="0.46659656553398066" u="1"/>
        <n v="0.55420916272631593" u="1"/>
        <n v="0.89299892682926829" u="1"/>
        <n v="0.97684119999999985" u="1"/>
        <n v="0.99026670526315774" u="1"/>
        <n v="0.84383744186046516" u="1"/>
        <n v="0.91396790697674413" u="1"/>
        <n v="0.17139442999999999" u="1"/>
        <n v="0.1437348" u="1"/>
        <n v="0.97221254736842078" u="1"/>
        <n v="0.92164130000000011" u="1"/>
        <n v="0.35955243799999892" u="1"/>
        <n v="0.56942610000000016" u="1"/>
        <n v="0.82955972747368412" u="1"/>
        <n v="0.28421173529412552" u="1"/>
        <n v="0.8695286000000001" u="1"/>
        <n v="0.88050929444444459" u="1"/>
        <n v="0.74312808780487793" u="1"/>
        <n v="0.47267657142857139" u="1"/>
        <n v="0.85644720930232554" u="1"/>
        <n v="0.71859463414634139" u="1"/>
        <n v="0.58276041666666667" u="1"/>
        <n v="0.74924023255813954" u="1"/>
        <n v="0.6405550888888889" u="1"/>
        <n v="0.5939310770526316" u="1"/>
        <n v="0.59950417368421061" u="1"/>
        <n v="0.5939650277777776" u="1"/>
        <n v="0.56991050555555567" u="1"/>
        <n v="0.96098386666666669" u="1"/>
        <n v="0.52908214126315789" u="1"/>
        <n v="0.89904674418604646" u="1"/>
        <n v="0.77994600000008241" u="1"/>
        <n v="0.99398160465116281" u="1"/>
        <n v="0.78002253528421051" u="1"/>
        <n v="0.50167463291262138" u="1"/>
        <n v="0.29285030999999817" u="1"/>
        <n v="0.33591116999999998" u="1"/>
        <n v="0.74576916097560975" u="1"/>
        <n v="0.23141217647058818" u="1"/>
        <n v="0.92747648837209307" u="1"/>
        <n v="0.43159611696116507" u="1"/>
        <n v="0.46741335349514573" u="1"/>
        <n v="0.92635930232558139" u="1"/>
        <n v="0.64933071515789476" u="1"/>
        <n v="0.39588882352941174" u="1"/>
        <n v="0.54683103928205135" u="1"/>
        <n v="0.75946602325581392" u="1"/>
        <n v="0.55039581111111113" u="1"/>
        <n v="0.97544736585365877" u="1"/>
        <n v="0.57835688235296701" u="1"/>
        <n v="0.72085627906976735" u="1"/>
        <n v="0.32726628999999863" u="1"/>
        <n v="0.75429199024390237" u="1"/>
        <n v="0.99837697560975591" u="1"/>
        <n v="8.5115117647058286E-2" u="1"/>
        <n v="0.90054044186046511" u="1"/>
        <n v="0.40359154999999974" u="1"/>
        <n v="0.4035915499999998" u="1"/>
        <n v="0.40359154999999985" u="1"/>
        <n v="0.68848608210526308" u="1"/>
        <n v="0.82233441860465117" u="1"/>
        <n v="0.83902953488372101" u="1"/>
        <n v="0.84928096736842129" u="1"/>
        <n v="0.89070730731707304" u="1"/>
        <n v="0.22798100000000043" u="1"/>
        <n v="0.58478432222222221" u="1"/>
        <n v="0.83459517919999993" u="1"/>
        <n v="0.92904297222222243" u="1"/>
        <n v="0.79246860465116276" u="1"/>
        <n v="0.83712139534883723" u="1"/>
        <n v="0.85730994146341455" u="1"/>
        <n v="0.45366288990291259" u="1"/>
        <n v="0.60232529444444438" u="1"/>
        <n v="0.45780779368932045" u="1"/>
        <n v="0.86270000000000002" u="1"/>
        <n v="0.55244666111111107" u="1"/>
        <n v="0.12154635294117497" u="1"/>
        <n v="0.32650181500000003" u="1"/>
        <n v="0.94384804408421041" u="1"/>
        <n v="0.5523151172307692" u="1"/>
        <n v="0.96188704016842108" u="1"/>
        <n v="0.58092660555555542" u="1"/>
        <n v="0.92150267222222226" u="1"/>
        <n v="0.98486750526315792" u="1"/>
        <n v="0.89544020000000013" u="1"/>
        <n v="0.5578823529411765" u="1"/>
        <n v="0.67567765116279066" u="1"/>
        <n v="0.57217299444444436" u="1"/>
        <n v="0.45431672324271838" u="1"/>
        <n v="0.9229792" u="1"/>
        <n v="0.14669572000000003" u="1"/>
        <n v="0.87932300000000008" u="1"/>
        <n v="0.81406906976744187" u="1"/>
        <n v="0.62749975637894773" u="1"/>
        <n v="0.82937511111111095" u="1"/>
        <n v="0.22311288235294155" u="1"/>
        <n v="0.4471195461456311" u="1"/>
        <n v="0.2884985294117734" u="1"/>
        <n v="0.55409556111111102" u="1"/>
        <n v="0.2819075139999998" u="1"/>
        <n v="0.98592976744186034" u="1"/>
        <n v="0.9838879892631579" u="1"/>
        <n v="0.56099220000000016" u="1"/>
        <n v="0.39196888235294114" u="1"/>
        <n v="0.82083390555555535" u="1"/>
        <n v="0.92472378536585376" u="1"/>
        <n v="0.76829418604651167" u="1"/>
        <n v="0.7186245951219512" u="1"/>
        <n v="0.99268589036842103" u="1"/>
        <n v="0.18312811764705883" u="1"/>
        <n v="0.9528939302325582" u="1"/>
        <n v="0.28099435294117642" u="1"/>
        <n v="0.32758306999999959" u="1"/>
        <n v="0.97720260000000003" u="1"/>
        <n v="0.9847986666666666" u="1"/>
        <n v="0.78772708333333341" u="1"/>
        <n v="0.92667740555555544" u="1"/>
        <n v="0.7796976470589071" u="1"/>
        <n v="0.3058077899999998" u="1"/>
        <n v="0.98819024444443782" u="1"/>
        <n v="0.78539091707317066" u="1"/>
        <n v="1.0072930232558139" u="1"/>
        <n v="0.62139862439024385" u="1"/>
        <n v="0.8003206976744186" u="1"/>
        <n v="0.58998156030769222" u="1"/>
        <n v="0.93871881395348833" u="1"/>
        <n v="0.14534554100000022" u="1"/>
        <n v="0.59679691111111133" u="1"/>
        <n v="0.80174838048780495" u="1"/>
        <n v="0.49677648333333319" u="1"/>
        <n v="0.90636196666666646" u="1"/>
        <n v="0.97392413333333328" u="1"/>
        <n v="0.19883418000000147" u="1"/>
        <n v="0.96572648780487791" u="1"/>
        <n v="0.24536674199999994" u="1"/>
        <n v="0.1380019999999999" u="1"/>
        <n v="0.94852790697674416" u="1"/>
        <n v="0.97821692725263154" u="1"/>
        <n v="0.92892562777777532" u="1"/>
        <n v="0.80878035294126727" u="1"/>
        <n v="0.24476040399999988" u="1"/>
        <n v="0.90167906666666653" u="1"/>
        <n v="0.23329933199999972" u="1"/>
        <n v="0.24792388235294124" u="1"/>
        <n v="0.92355506666666654" u="1"/>
        <n v="0.98803360555555464" u="1"/>
        <n v="0.41936800048543693" u="1"/>
        <n v="0.45778466990291261" u="1"/>
        <n v="0.19123414000000025" u="1"/>
        <n v="0.40366284599999852" u="1"/>
        <n v="0.78376175609756094" u="1"/>
        <n v="0.41581525999999802" u="1"/>
        <n v="0.61729167222222237" u="1"/>
        <n v="0.76354882352941167" u="1"/>
        <n v="0.97890123157894737" u="1"/>
        <n v="0.91619906976744181" u="1"/>
        <n v="0.95848797777777772" u="1"/>
        <n v="0.98216110000000012" u="1"/>
        <n v="0.28415944117647851" u="1"/>
        <n v="0.58054362222222211" u="1"/>
        <n v="0.68849981852631559" u="1"/>
        <n v="0.9258969222222222" u="1"/>
        <n v="0.30998906999999976" u="1"/>
        <n v="0.81859913333333334" u="1"/>
        <n v="0.9904377333333334" u="1"/>
        <n v="0.13844241499999996" u="1"/>
        <n v="0.91357108333333237" u="1"/>
        <n v="0.85124526829268299" u="1"/>
        <n v="0.53690955178947364" u="1"/>
        <n v="0.28159541176470587" u="1"/>
        <n v="0.23147752941176469" u="1"/>
        <n v="0.56750586905263167" u="1"/>
        <n v="0.92008632222222231" u="1"/>
        <n v="0.69550380487804875" u="1"/>
        <n v="0.96948786666666664" u="1"/>
        <n v="0.29122180999999825" u="1"/>
        <n v="0.72527697560975601" u="1"/>
        <n v="0.69353579069767446" u="1"/>
        <n v="0.87734906976744187" u="1"/>
        <n v="0.92263579512195126" u="1"/>
        <n v="0.89141464105263157" u="1"/>
        <n v="0.98485693333333324" u="1"/>
        <n v="0.8870122944444444" u="1"/>
        <n v="0.91625419444444434" u="1"/>
        <n v="0.8184341463414635" u="1"/>
        <n v="0.79135999999999995" u="1"/>
        <n v="0.37127100000000207" u="1"/>
        <n v="0.90708544390243906" u="1"/>
        <n v="0.46248566473786412" u="1"/>
        <n v="0.12454106000000011" u="1"/>
        <n v="0.96065396666666636" u="1"/>
        <n v="0.89680734736842105" u="1"/>
        <n v="0.28010818999999998" u="1"/>
        <n v="0.85876370588235296" u="1"/>
        <n v="0.59219260555555553" u="1"/>
        <n v="0.77202744186046512" u="1"/>
        <n v="0.99048026666666678" u="1"/>
        <n v="0.51832983249230757" u="1"/>
        <n v="0.7009532585365853" u="1"/>
        <n v="0.59400954444444443" u="1"/>
        <n v="0.93950624999999977" u="1"/>
        <n v="0.35023529411764709" u="1"/>
        <n v="0.32539403899999969" u="1"/>
        <n v="0.63357228292682932" u="1"/>
        <n v="0.55225814444444443" u="1"/>
        <n v="0.48252427041747581" u="1"/>
        <n v="0.37484129411764733" u="1"/>
        <n v="0.71103411764711788" u="1"/>
        <n v="0.80863325581395351" u="1"/>
        <n v="0.4523052213333334" u="1"/>
        <n v="0.99986926111110941" u="1"/>
        <n v="0.87343480000000029" u="1"/>
        <n v="0.92870454444444439" u="1"/>
        <n v="0.13797575399999984" u="1"/>
        <n v="0.88014373611111063" u="1"/>
        <n v="0.8866090697674418" u="1"/>
        <n v="0.99592183414634117" u="1"/>
        <n v="0.95377416111111069" u="1"/>
        <n v="0.28537974999999816" u="1"/>
        <n v="0.57654573333333348" u="1"/>
        <n v="0.74462975609756099" u="1"/>
        <n v="0.81027322869473684" u="1"/>
        <n v="0.89387651162790693" u="1"/>
        <n v="0.73330770731707318" u="1"/>
        <n v="0.59002272222222196" u="1"/>
        <n v="0.96173240000000004" u="1"/>
        <n v="0.25566647099999984" u="1"/>
        <n v="0.52293118800000005" u="1"/>
        <n v="0.43113749644660193" u="1"/>
        <n v="0.82545255813953489" u="1"/>
        <n v="0.96451587222222224" u="1"/>
        <n v="0.98853613333333346" u="1"/>
        <n v="0.3673058823529412" u="1"/>
        <n v="0.51981609915897431" u="1"/>
        <n v="0.72945767441860465" u="1"/>
        <n v="0.64920874155789476" u="1"/>
        <n v="0.92122647368421051" u="1"/>
        <n v="0.98591709268292682" u="1"/>
        <n v="0.89059228292682935" u="1"/>
        <n v="0.8942936777777778" u="1"/>
        <n v="0.8024135609756099" u="1"/>
        <n v="0.62" u="1"/>
        <n v="0.30801594799999832" u="1"/>
        <n v="0.37238169299999979" u="1"/>
        <n v="0.5634544628717949" u="1"/>
        <n v="0.71893756097560979" u="1"/>
        <n v="0.56688892777777766" u="1"/>
        <n v="0.94906906976744188" u="1"/>
        <n v="0.69347903888888884" u="1"/>
        <n v="0.97417649999999978" u="1"/>
        <n v="0.52277571111111143" u="1"/>
        <n v="0.97064627906976753" u="1"/>
        <n v="0.68547823529411767" u="1"/>
        <n v="0.92000897777777757" u="1"/>
        <n v="0.16834889000000103" u="1"/>
        <n v="0.86826444408421055" u="1"/>
        <n v="0.20116576470588238" u="1"/>
        <n v="0.97142183414634131" u="1"/>
        <n v="0.96571985810526317" u="1"/>
        <n v="0.93224864444444433" u="1"/>
        <n v="0.88202497560975623" u="1"/>
        <n v="0.62886535609756089" u="1"/>
        <n v="0.92629894444444427" u="1"/>
        <n v="0.58132116111111098" u="1"/>
        <n v="0.67321206976744186" u="1"/>
        <n v="0.97877933333333333" u="1"/>
        <n v="0.21306381199999946" u="1"/>
        <n v="0.79434720930232561" u="1"/>
        <n v="0.57938775620512828" u="1"/>
        <n v="0.65095423414634146" u="1"/>
        <n v="0.95443465116279058" u="1"/>
        <n v="7.3760000000000048E-2" u="1"/>
        <n v="0.53051121957894731" u="1"/>
        <n v="0.65033279069767447" u="1"/>
        <n v="0.65325232315789461" u="1"/>
        <n v="0.9120746666666667" u="1"/>
        <n v="0.18171582352941212" u="1"/>
        <n v="0.58556416694736846" u="1"/>
        <n v="0.64837686787368409" u="1"/>
        <n v="0.75815308292682915" u="1"/>
        <n v="0.54486203005128198" u="1"/>
        <n v="0.28429014705883154" u="1"/>
        <n v="0.9273397951219513" u="1"/>
        <n v="0.92042066666666666" u="1"/>
        <n v="0.86005604651162793" u="1"/>
        <n v="0.81169443902439009" u="1"/>
        <n v="0.95975481666666662" u="1"/>
        <n v="0.81940275121951212" u="1"/>
        <n v="0.69173160465116279" u="1"/>
        <n v="0.87277695684210554" u="1"/>
        <n v="0.69480866666666674" u="1"/>
        <n v="0.98609123333333326" u="1"/>
        <n v="0.93483797073170716" u="1"/>
        <n v="0.43555653333009725" u="1"/>
        <n v="0.98647899444444476" u="1"/>
        <n v="0.76010839024390253" u="1"/>
        <n v="0.63120299326315776" u="1"/>
        <n v="0.109574139999999" u="1"/>
        <n v="0.54577881666666672" u="1"/>
        <n v="0.93944489444444435" u="1"/>
        <n v="0.87240858139534894" u="1"/>
        <n v="0.92831837209302326" u="1"/>
        <n v="0.96738694444444451" u="1"/>
        <n v="0.96112546666666665" u="1"/>
        <n v="0.69738299999999998" u="1"/>
        <n v="0.95808282777777742" u="1"/>
        <n v="0.97137186046511614" u="1"/>
        <n v="0.71621065473684209" u="1"/>
        <n v="0.79510799024390255" u="1"/>
        <n v="0.59785677178947372" u="1"/>
        <n v="0.48352386666666652" u="1"/>
        <n v="0.92641023255813948" u="1"/>
        <n v="0.95173429279999999" u="1"/>
        <n v="0.14825952941176129" u="1"/>
        <n v="0.28714679999999815" u="1"/>
        <n v="0.54631730000000001" u="1"/>
        <n v="0.35156670588236227" u="1"/>
        <n v="0.32715848699999867" u="1"/>
        <n v="0.22300231199999943" u="1"/>
        <n v="0.34361676470588798" u="1"/>
        <n v="0.26908314900000063" u="1"/>
        <n v="0.92860106473684212" u="1"/>
        <n v="0.42909301439805841" u="1"/>
        <n v="0.81938837209302318" u="1"/>
        <n v="0.9987997157894738" u="1"/>
        <n v="0.78444429411770766" u="1"/>
        <n v="0.83899627906976748" u="1"/>
        <n v="0.27507520588235979" u="1"/>
        <n v="0.43283552941176473" u="1"/>
        <n v="0.95919346666666672" u="1"/>
        <n v="0.73615063414634141" u="1"/>
        <n v="0.43691435294117648" u="1"/>
        <n v="0.82093230232558134" u="1"/>
        <n v="0.79807219512195116" u="1"/>
        <n v="0.87641258536585365" u="1"/>
        <n v="0.29490779199999823" u="1"/>
        <n v="0.55832003888888904" u="1"/>
        <n v="0.90797873170731713" u="1"/>
        <n v="0.61998635294119819" u="1"/>
        <n v="0.63615569756097567" u="1"/>
        <n v="0.54511431666666676" u="1"/>
        <n v="0.49008647058823684" u="1"/>
        <n v="0.92752557894736831" u="1"/>
        <n v="0.54645599999999994" u="1"/>
        <n v="0.95213000000000003" u="1"/>
        <n v="0.96790465116279067" u="1"/>
        <n v="0.79646388888888886" u="1"/>
        <n v="0.69520069767441861" u="1"/>
        <n v="0.98838320000000002" u="1"/>
        <n v="0.88454292682926816" u="1"/>
        <n v="0.96706479999999995" u="1"/>
        <n v="0.46738494383495138" u="1"/>
        <n v="0.99547905365853617" u="1"/>
        <n v="0.92923439534883723" u="1"/>
        <n v="0.65021772547368428" u="1"/>
        <n v="0.24007577999999996" u="1"/>
        <n v="0.97343626666666661" u="1"/>
        <n v="0.31158971599999857" u="1"/>
        <n v="0.63722620652631567" u="1"/>
        <n v="0.79858458823537037" u="1"/>
        <n v="0.9962847944444444" u="1"/>
        <n v="0.82901932777777787" u="1"/>
        <n v="0.45712350761165071" u="1"/>
        <n v="0.90075803902439022" u="1"/>
        <n v="0.65109413658536586" u="1"/>
        <n v="0.82812720930232564" u="1"/>
        <n v="0.5545052894358975" u="1"/>
        <n v="0.79272790697674422" u="1"/>
        <n v="0.77872745555555589" u="1"/>
        <n v="0.75180496585365852" u="1"/>
        <n v="0.89580067777777783" u="1"/>
        <n v="0.84449922777777819" u="1"/>
        <n v="0.57343024325263159" u="1"/>
        <n v="0.67117647058823526" u="1"/>
        <n v="0.96496895555555584" u="1"/>
        <n v="0.30247614699999814" u="1"/>
        <n v="0.52862707810526299" u="1"/>
        <n v="0.9341214222222225" u="1"/>
        <n v="0.36580969799999891" u="1"/>
        <n v="0.97162760000000004" u="1"/>
        <n v="0.99615396097560982" u="1"/>
        <n v="0.65141911219512183" u="1"/>
        <n v="0.55896163888888906" u="1"/>
        <n v="0.85833581395348835" u="1"/>
        <n v="0.92807550243902459" u="1"/>
        <n v="0.55914530000000018" u="1"/>
        <n v="0.76010697674418604" u="1"/>
        <n v="0.98156911442105255" u="1"/>
        <n v="0.56510348837209301" u="1"/>
        <n v="0.96948896666666651" u="1"/>
        <n v="0.99165051707317065" u="1"/>
        <n v="0.22549184999999994" u="1"/>
        <n v="0.9895288000000001" u="1"/>
        <n v="0.94330372093023263" u="1"/>
        <n v="0.14660118600000019" u="1"/>
        <n v="0.73501735609756103" u="1"/>
        <n v="0.70333860465116282" u="1"/>
        <n v="0.49072151111111106" u="1"/>
        <n v="0.79868448780487811" u="1"/>
        <n v="0.84365000000000001" u="1"/>
        <n v="0.99297397073170757" u="1"/>
        <n v="0.98537706666666669" u="1"/>
        <n v="0.2228647647058824" u="1"/>
        <n v="0.69164953488372094" u="1"/>
        <n v="0.27875852999999995" u="1"/>
        <n v="0.35189347058824405" u="1"/>
        <n v="0.89346132222222208" u="1"/>
        <n v="0.62339372093023249" u="1"/>
        <n v="0.86788345461052618" u="1"/>
        <n v="0.93061023255813946" u="1"/>
        <n v="0.39432413999999821" u="1"/>
        <n v="0.97699049473684207" u="1"/>
        <n v="0.33120664705882596" u="1"/>
        <n v="0.59955929411767694" u="1"/>
        <n v="0.33414163899999849" u="1"/>
        <n v="0.94777741860465115" u="1"/>
        <n v="0.62776751273684217" u="1"/>
        <n v="0.98597069767441858" u="1"/>
        <n v="0.87979501463414633" u="1"/>
        <n v="0.73274400000000006" u="1"/>
        <n v="0.1210329799999998" u="1"/>
        <n v="0.97018353170731686" u="1"/>
        <n v="0.99165380000000003" u="1"/>
        <n v="0.22625800999999968" u="1"/>
        <n v="0.85173720930232555" u="1"/>
        <n v="0.96273673684210526" u="1"/>
        <n v="0.55826397777777759" u="1"/>
        <n v="0.64704463629473674" u="1"/>
        <n v="0.44529137330097079" u="1"/>
        <n v="0.43125965399029131" u="1"/>
        <n v="0.71207790329473697" u="1"/>
        <n v="0.98211253333333337" u="1"/>
        <n v="0.93593785263157903" u="1"/>
        <n v="0.11129063999999886" u="1"/>
        <n v="0.11587099999999791" u="1"/>
        <n v="0.69315247804878044" u="1"/>
        <n v="0.14832488235293767" u="1"/>
        <n v="0.57071531666666675" u="1"/>
        <n v="0.99836773333333328" u="1"/>
        <n v="0.96017372093023245" u="1"/>
        <n v="0.111290639999999" u="1"/>
        <n v="0.71093123529415203" u="1"/>
        <n v="0.87748870555555547" u="1"/>
        <n v="0.25729198000000042" u="1"/>
        <n v="0.28048235294117646" u="1"/>
        <n v="0.93059999999999998" u="1"/>
        <n v="0.37593876470588733" u="1"/>
        <n v="0.63892312846315791" u="1"/>
        <n v="0.57288600851282045" u="1"/>
        <n v="0.74869043902439014" u="1"/>
        <n v="0.93689366315789468" u="1"/>
        <n v="0.98517574736842095" u="1"/>
        <n v="0.27057744117647575" u="1"/>
        <n v="0.46704189174757293" u="1"/>
        <n v="0.95" u="1"/>
        <n v="0.88520653658536586" u="1"/>
        <n v="0.74667418604651159" u="1"/>
        <n v="0.61367480392820517" u="1"/>
        <n v="0.99816506666666671" u="1"/>
        <n v="0.99605270243902411" u="1"/>
        <n v="0.75122" u="1"/>
        <n v="0.61133308634871797" u="1"/>
        <n v="0.36317400000000577" u="1"/>
        <n v="0.96650628333333322" u="1"/>
        <n v="0.9231479069767442" u="1"/>
        <n v="0.6574694536585366" u="1"/>
        <n v="0.78114811627906977" u="1"/>
        <n v="0.85816974418604652" u="1"/>
        <n v="0.87007185000000009" u="1"/>
        <n v="0.97246418604651153" u="1"/>
        <n v="0.6591867441860465" u="1"/>
        <n v="0.21626935294117575" u="1"/>
        <n v="0.91886069767441858" u="1"/>
        <n v="0.60459860877894744" u="1"/>
        <n v="0.69502953488372088" u="1"/>
        <n v="0.98925071219512184" u="1"/>
        <n v="0.85220476666666667" u="1"/>
        <n v="0.54542318333333339" u="1"/>
        <n v="0.41159682572815548" u="1"/>
        <n v="0.25238255882353289" u="1"/>
        <n v="0.77512156097560958" u="1"/>
        <n v="0.5683946279069767" u="1"/>
        <n v="0.46805144514563102" u="1"/>
        <n v="0.48226322222222229" u="1"/>
        <n v="0.95337771705263152" u="1"/>
        <n v="0.9771065333333333" u="1"/>
        <n v="0.99273403333333343" u="1"/>
        <n v="0.3862416699999997" u="1"/>
        <n v="0.57847026666666657" u="1"/>
        <n v="0.40339584514563109" u="1"/>
        <n v="0.94305997777777806" u="1"/>
        <n v="0.77518252682926825" u="1"/>
        <n v="0.4571001865048544" u="1"/>
        <n v="0.48954326085436894" u="1"/>
        <n v="0.92482153055555516" u="1"/>
        <n v="0.87979209302325589" u="1"/>
        <n v="0.98889734444443533" u="1"/>
        <n v="0.72402995121951219" u="1"/>
        <n v="0.78519490555555582" u="1"/>
        <n v="0.39031864705882352" u="1"/>
        <n v="0.76196162790697675" u="1"/>
        <n v="0.54676556666666676" u="1"/>
        <n v="0.34156029411764821" u="1"/>
        <n v="0.24968258000000021" u="1"/>
        <n v="0.66606767441860459" u="1"/>
        <n v="0.9198071024390243" u="1"/>
        <n v="0.92744186046511623" u="1"/>
        <n v="0.7872908823530177" u="1"/>
        <n v="0.46924244300970874" u="1"/>
        <n v="0.93507706341463415" u="1"/>
        <n v="0.649496380487805" u="1"/>
        <n v="0.43422911764705879" u="1"/>
        <n v="0.82871921951219507" u="1"/>
        <n v="0.87951562222222235" u="1"/>
        <n v="0.61565654999999986" u="1"/>
        <n v="0.37989070588235296" u="1"/>
        <n v="0.54931982777777788" u="1"/>
        <n v="0.23049153200000036" u="1"/>
        <n v="0.19945298999999977" u="1"/>
        <n v="0.57086287777777778" u="1"/>
        <n v="0.9245895999999999" u="1"/>
        <n v="0.24624799999999822" u="1"/>
        <n v="0.13170663999999974" u="1"/>
        <n v="0.66733093023255818" u="1"/>
        <n v="0.30981994117647738" u="1"/>
        <n v="0.15212435294117646" u="1"/>
        <n v="0.93233175833333271" u="1"/>
        <n v="0.23142417999999965" u="1"/>
        <n v="0.75578953488372091" u="1"/>
        <n v="0.24624799999999997" u="1"/>
        <n v="0.54245925000000006" u="1"/>
        <n v="0.81810837209302323" u="1"/>
        <n v="0.49696153378640784" u="1"/>
        <n v="0.60846919073684214" u="1"/>
        <n v="0.78946499398947356" u="1"/>
        <n v="0.53985432276923062" u="1"/>
        <n v="0.7831547219512196" u="1"/>
        <n v="0.8075202829268292" u="1"/>
        <n v="0.95840823284210519" u="1"/>
        <n v="0.71436429411770308" u="1"/>
        <n v="0.93693826666666669" u="1"/>
        <n v="0.9308178833333336" u="1"/>
        <n v="0.57759552777777778" u="1"/>
        <n v="0.75647737560975614" u="1"/>
        <n v="0.28548633099999821" u="1"/>
        <n v="0.9518250926829267" u="1"/>
        <n v="0.98152206666666686" u="1"/>
        <n v="0.98973752777777779" u="1"/>
        <n v="0.49006732857142854" u="1"/>
        <n v="0.1480765294117615" u="1"/>
        <n v="0.65380514652631572" u="1"/>
        <n v="0.92058197222222227" u="1"/>
        <n v="0.46676323529413077" u="1"/>
        <n v="0.83830625581395346" u="1"/>
        <n v="0.36710387" u="1"/>
        <n v="0.8904053361111105" u="1"/>
        <n v="0.27094066199999817" u="1"/>
        <n v="0.6403818944444446" u="1"/>
        <n v="0.95527186046511625" u="1"/>
        <n v="0.26459420588235766" u="1"/>
        <n v="0.12881008100000016" u="1"/>
        <n v="0.92627604651162787" u="1"/>
        <n v="0.69244263999999978" u="1"/>
        <n v="0.91096806210526315" u="1"/>
        <n v="0.96166416279069766" u="1"/>
        <n v="0.86867116279069767" u="1"/>
        <n v="0.3581006976744186" u="1"/>
        <n v="0.60972523529414691" u="1"/>
        <n v="0.89264293333333333" u="1"/>
        <n v="0.39586535294117647" u="1"/>
        <n v="0.91332927094736849" u="1"/>
        <n v="0.15337957099999955" u="1"/>
        <n v="0.37606947058824103" u="1"/>
        <n v="0.90033995" u="1"/>
        <n v="0.5090857513398056" u="1"/>
        <n v="0.39568235294117637" u="1"/>
        <n v="0.66795658536585356" u="1"/>
        <n v="0.3377988235294182" u="1"/>
        <n v="0.31390161799999861" u="1"/>
        <n v="0.97680754999999997" u="1"/>
        <n v="0.82680312195121952" u="1"/>
        <n v="0.82136282926829263" u="1"/>
        <n v="0.58788741263157884" u="1"/>
        <n v="0.95251466666666662" u="1"/>
        <n v="0.42815300077669904" u="1"/>
        <n v="0.86131999999999997" u="1"/>
        <n v="0.2955754705882393" u="1"/>
        <n v="0.98379767777777771" u="1"/>
        <n v="0.97628358888888878" u="1"/>
        <n v="0.59051226666666645" u="1"/>
        <n v="0.25528008499999816" u="1"/>
        <n v="0.56476303888888879" u="1"/>
        <n v="0.9164534333333334" u="1"/>
        <n v="0.53707717647058828" u="1"/>
        <n v="0.99890725853658557" u="1"/>
        <n v="0.78200330731707324" u="1"/>
        <n v="0.91389162790697676" u="1"/>
        <n v="0.56845907777777782" u="1"/>
        <n v="0.94395930232558145" u="1"/>
        <n v="0.64428973010526314" u="1"/>
        <n v="0.59530379999999994" u="1"/>
        <n v="0.9114727906976744" u="1"/>
        <n v="0.74998904651162801" u="1"/>
        <n v="0.84458136585365839" u="1"/>
        <n v="0.70742629411770286" u="1"/>
        <n v="0.24170181200000015" u="1"/>
        <n v="0.99161606315789452" u="1"/>
        <n v="0.11621163999999951" u="1"/>
        <n v="0.93704871736842099" u="1"/>
        <n v="0.71177232558139536" u="1"/>
        <n v="0.17944670588235073" u="1"/>
        <n v="0.87756139534883726" u="1"/>
        <n v="0.8541849170731709" u="1"/>
        <n v="0.6452468195121952" u="1"/>
        <n v="0.59338551111111126" u="1"/>
        <n v="0.47510539233009719" u="1"/>
        <n v="0.73509160975609755" u="1"/>
        <n v="0.84376648273684196" u="1"/>
        <n v="0.90336302439024385" u="1"/>
        <n v="0.78892082777777794" u="1"/>
        <n v="0.47417792475728154" u="1"/>
        <n v="0.86534086829268309" u="1"/>
        <n v="0.58805126666666663" u="1"/>
        <n v="0.75178488372093033" u="1"/>
        <n v="0.9055512222222224" u="1"/>
        <n v="0.97662613333333337" u="1"/>
        <n v="0.93216236097560967" u="1"/>
        <n v="0.72217129411771097" u="1"/>
        <n v="0.62728116097560971" u="1"/>
        <n v="0.53865256338461542" u="1"/>
        <n v="0.5645762735384614" u="1"/>
        <n v="0.4523466487184466" u="1"/>
        <n v="0.98441689756097572" u="1"/>
        <n v="0.97054952777777748" u="1"/>
        <n v="0.99607973333333333" u="1"/>
        <n v="0.70402921666666674" u="1"/>
        <n v="0.92678695010526324" u="1"/>
        <n v="0.12804364000000021" u="1"/>
        <n v="0.89600297222222214" u="1"/>
        <n v="0.72305370000000002" u="1"/>
        <n v="0.80869004878048745" u="1"/>
        <n v="0.59449820555555566" u="1"/>
        <n v="0.82683990243902439" u="1"/>
        <n v="0.76620574634146332" u="1"/>
        <n v="0.97975902222221667" u="1"/>
        <n v="0.21074049000000031" u="1"/>
        <n v="0.97507326610526301" u="1"/>
        <n v="0.19397782352941181" u="1"/>
        <n v="0.53599481111111114" u="1"/>
        <n v="0.5672643666666668" u="1"/>
        <n v="0.48262366666666667" u="1"/>
        <n v="0.77277385365853668" u="1"/>
        <n v="0.77611881395348836" u="1"/>
        <n v="0.18021270588235344" u="1"/>
        <n v="0.17369924000000125" u="1"/>
        <n v="0.79076695555555554" u="1"/>
        <n v="0.69225648837209308" u="1"/>
        <n v="0.83263838055555572" u="1"/>
        <n v="0.95766263611111024" u="1"/>
        <n v="0.69211023255813953" u="1"/>
        <n v="0.23122964705882357" u="1"/>
        <n v="0.98851973658536574" u="1"/>
        <n v="0.85081697674418599" u="1"/>
        <n v="0.17876250000000113" u="1"/>
        <n v="0.62048723529415228" u="1"/>
        <n v="0.85307837209302328" u="1"/>
        <n v="0.96534373333333323" u="1"/>
        <n v="0.83069538888888916" u="1"/>
        <n v="0.92147657894736845" u="1"/>
        <n v="0.50227112777777783" u="1"/>
        <n v="0.82994951219512181" u="1"/>
        <n v="0.77877754146341494" u="1"/>
        <n v="0.82144350833333379" u="1"/>
        <n v="0.88750430000000013" u="1"/>
        <n v="0.28012894117647352" u="1"/>
        <n v="0.95295423126315792" u="1"/>
        <n v="0.33378253199999891" u="1"/>
        <n v="0.48335861281553399" u="1"/>
        <n v="0.21276831199999946" u="1"/>
        <n v="0.8124217944444444" u="1"/>
        <n v="0.28293176999999986" u="1"/>
        <n v="0.22305828200000022" u="1"/>
        <n v="0.2579865294117647" u="1"/>
        <n v="0.94722626666666665" u="1"/>
        <n v="0.39010487199999838" u="1"/>
        <n v="0.983143315789474" u="1"/>
        <n v="0.56524520888205121" u="1"/>
        <n v="0.55143647777777793" u="1"/>
        <n v="0.98436413333333328" u="1"/>
        <n v="0.98791797073170773" u="1"/>
        <n v="0.55069532777777763" u="1"/>
        <n v="0.57695407222222217" u="1"/>
        <n v="0.67441531707317071" u="1"/>
        <n v="0.4808626512621359" u="1"/>
        <n v="0.80022253488372097" u="1"/>
        <n v="0.44755577587378648" u="1"/>
        <n v="0.99930181052631584" u="1"/>
        <n v="0.81172222222222223" u="1"/>
        <n v="0.53500603333333341" u="1"/>
        <n v="0.77963970588235298" u="1"/>
        <n v="0.61664403333333329" u="1"/>
        <n v="0.80847453658536583" u="1"/>
        <n v="0.17382618399999955" u="1"/>
        <n v="0.20193625600000017" u="1"/>
        <n v="0.99466999999999994" u="1"/>
        <n v="0.54625443885128189" u="1"/>
        <n v="0.15839258199999948" u="1"/>
        <n v="0.74698546341463401" u="1"/>
        <n v="0.66819997674418607" u="1"/>
        <n v="0.98942750243902422" u="1"/>
        <n v="0.90170464444444443" u="1"/>
        <n v="0.92066925263157884" u="1"/>
        <n v="0.49260621321025627" u="1"/>
        <n v="0.76147837209302327" u="1"/>
        <n v="0.82180197222222229" u="1"/>
        <n v="0.92052487368421054" u="1"/>
        <n v="0.96822767441860458" u="1"/>
        <n v="0.96178146666666664" u="1"/>
        <n v="0.64658741666666675" u="1"/>
        <n v="0.47736817310679613" u="1"/>
        <n v="0.78281102439024386" u="1"/>
        <n v="0.29405317647058826" u="1"/>
        <n v="0.78266883720930236" u="1"/>
        <n v="0.19085247058823557" u="1"/>
        <n v="0.72101488235298883" u="1"/>
        <n v="0.68061485052631576" u="1"/>
        <n v="0.75540477073170742" u="1"/>
        <n v="0.71265900347368405" u="1"/>
        <n v="0.63011904651162787" u="1"/>
        <n v="0.98941626666666671" u="1"/>
        <n v="0.22159041000000002" u="1"/>
        <n v="0.94096581395348833" u="1"/>
        <n v="0.9365395024390244" u="1"/>
        <n v="0.38000881395348846" u="1"/>
        <n v="8.9507529411764208E-2" u="1"/>
        <n v="0.8990526666666665" u="1"/>
        <n v="0.68627050555555535" u="1"/>
        <n v="0.88598057560975607" u="1"/>
        <n v="0.82048253658536585" u="1"/>
        <n v="0.93579186046511631" u="1"/>
        <n v="0.16410930000000035" u="1"/>
        <n v="0.93486866666666668" u="1"/>
        <n v="0.39910221999999851" u="1"/>
        <n v="0.58962813648205126" u="1"/>
        <n v="0.92064838048780484" u="1"/>
        <n v="0.79060028292682927" u="1"/>
        <n v="0.74109746182105274" u="1"/>
        <n v="0.96205585555555162" u="1"/>
        <n v="0.25805188235294119" u="1"/>
        <n v="0.81668682777777757" u="1"/>
        <n v="0.49709296543689324" u="1"/>
        <n v="0.68549174158947368" u="1"/>
        <n v="0.89303069767441867" u="1"/>
        <n v="0.54148962222222219" u="1"/>
        <n v="0.94726883720930233" u="1"/>
        <n v="0.59873027928205125" u="1"/>
        <n v="0.30487670588235288" u="1"/>
        <n v="0.40644705882352944" u="1"/>
        <n v="0.85462395348837206" u="1"/>
        <n v="0.31985151699999848" u="1"/>
        <n v="0.65150954421052631" u="1"/>
        <n v="0.75646860465116283" u="1"/>
        <n v="0.91149015000000022" u="1"/>
        <n v="0.48462535238095233" u="1"/>
        <n v="0.40234509456310685" u="1"/>
        <n v="0.99733649444443695" u="1"/>
        <n v="0.35990547058823535" u="1"/>
        <n v="0.5944992617435898" u="1"/>
        <n v="0.14297569800000004" u="1"/>
        <n v="0.9127060465116279" u="1"/>
        <n v="1.0290069767441858" u="1"/>
        <n v="0.20267797600000051" u="1"/>
        <n v="0.8136302325581396" u="1"/>
        <n v="0.49088194761904752" u="1"/>
        <n v="0.25807658823529411" u="1"/>
        <n v="0.61447886268717944" u="1"/>
        <n v="0.87411004878048748" u="1"/>
        <n v="0.32734279599999977" u="1"/>
        <n v="0.52790697674418607" u="1"/>
        <n v="0.87737639444444449" u="1"/>
        <n v="0.97183319999999995" u="1"/>
        <n v="0.7444372093023256" u="1"/>
        <n v="0.99686602926829271" u="1"/>
        <n v="0.89093904651162781" u="1"/>
        <n v="0.99576560000000003" u="1"/>
        <n v="0.56359254999999986" u="1"/>
        <n v="0.84759250256842111" u="1"/>
        <n v="0.97726976585365843" u="1"/>
        <n v="0.15469999999999998" u="1"/>
        <n v="0.86783428333333335" u="1"/>
        <n v="0.84941176470588231" u="1"/>
        <n v="0.8635103773789472" u="1"/>
        <n v="0.29106916599999821" u="1"/>
        <n v="0.67671082926829274" u="1"/>
        <n v="0.49022906912621356" u="1"/>
        <n v="0.92661255813953491" u="1"/>
        <n v="0.94309462790697673" u="1"/>
        <n v="0.36477023255813945" u="1"/>
        <n v="0.8160325581395349" u="1"/>
        <n v="0.4450247647058912" u="1"/>
        <n v="0.70458246631578947" u="1"/>
        <n v="0.47472670555555557" u="1"/>
        <n v="0.90292993888888895" u="1"/>
        <n v="0.47834660692233" u="1"/>
        <n v="0.92562488372093021" u="1"/>
        <n v="0.95551943157894748" u="1"/>
        <n v="0.45225533999999884" u="1"/>
        <n v="0.70518533431578945" u="1"/>
        <n v="0.5986331388888888" u="1"/>
        <n v="0.88408674418604649" u="1"/>
        <n v="0.4559780072815533" u="1"/>
        <n v="0.83121255813953487" u="1"/>
        <n v="0.97165733333333337" u="1"/>
        <n v="0.77521707317073152" u="1"/>
        <n v="0.26289613199999989" u="1"/>
        <n v="0.97681921052631571" u="1"/>
        <n v="0.52676983888888895" u="1"/>
        <n v="0.25251199999999696" u="1"/>
        <n v="0.65899883720930241" u="1"/>
        <n v="0.71532395348837208" u="1"/>
        <n v="0.49279603747572825" u="1"/>
        <n v="0.31269505882352938" u="1"/>
        <n v="0.95820773333333331" u="1"/>
        <n v="0.98506262357894725" u="1"/>
        <n v="0.69531472195121946" u="1"/>
        <n v="0.33395348837209304" u="1"/>
        <n v="0.14833310000000055" u="1"/>
        <n v="0.91397689473684196" u="1"/>
        <n v="0.36715759499999862" u="1"/>
        <n v="0.59660055555555569" u="1"/>
        <n v="0.51181028273684204" u="1"/>
        <n v="0.68310406786315803" u="1"/>
        <n v="0.25342447058823531" u="1"/>
        <n v="0.9543495388888884" u="1"/>
        <n v="0.59394416430769237" u="1"/>
        <n v="0.5750862790697675" u="1"/>
        <n v="0.75366447804878045" u="1"/>
        <n v="0.22475721200000037" u="1"/>
        <n v="0.75662697674418611" u="1"/>
        <n v="0.79609597222222228" u="1"/>
        <n v="0.28745329411764703" u="1"/>
        <n v="0.96110769145263153" u="1"/>
        <n v="0.20079288999999989" u="1"/>
        <n v="0.65220867317073183" u="1"/>
        <n v="0.20079289000000017" u="1"/>
        <n v="0.29370180999999818" u="1"/>
        <n v="0.95219950555555544" u="1"/>
        <n v="0.20079289000000045" u="1"/>
        <n v="0.32776506999999955" u="1"/>
        <n v="0.99118173333333337" u="1"/>
        <n v="0.45437561601941745" u="1"/>
        <n v="0.86196838048780511" u="1"/>
        <n v="0.96865807222222222" u="1"/>
        <n v="0.58510505774358978" u="1"/>
        <n v="0.48122001048543689" u="1"/>
        <n v="0.79545073333333316" u="1"/>
        <n v="0.20080288999999993" u="1"/>
        <n v="0.99984801951219493" u="1"/>
        <n v="0.3114909159999999" u="1"/>
        <n v="0.74716695348837214" u="1"/>
        <n v="0.47593921999999994" u="1"/>
        <n v="0.96253264999999999" u="1"/>
        <n v="0.76194209302325588" u="1"/>
        <n v="0.88718625581395349" u="1"/>
        <n v="0.46703522843689321" u="1"/>
        <n v="0.89489514736842102" u="1"/>
        <n v="0.88562039024390216" u="1"/>
        <n v="0.59328366694736845" u="1"/>
        <n v="0.85377927906976747" u="1"/>
        <n v="0.61773651162790688" u="1"/>
        <n v="0.98581260555555572" u="1"/>
        <n v="0.25816186599999824" u="1"/>
        <n v="0.72036532558139543" u="1"/>
        <n v="0.4655369562427184" u="1"/>
        <n v="0.84839277777777777" u="1"/>
        <n v="0.72211602325581392" u="1"/>
        <n v="0.37486576470588329" u="1"/>
        <n v="0.48756823339805827" u="1"/>
        <n v="0.37486576470588395" u="1"/>
        <n v="0.89954068292682943" u="1"/>
        <n v="0.11597558823529211" u="1"/>
        <n v="0.92447604651162785" u="1"/>
        <n v="0.89078579547368397" u="1"/>
        <n v="0.14000874120000006" u="1"/>
        <n v="0.8921302325581395" u="1"/>
        <n v="0.46580734899999854" u="1"/>
        <n v="0.76769441860465115" u="1"/>
        <n v="0.67181770905263127" u="1"/>
        <n v="0.73165694117652103" u="1"/>
        <n v="0.70687502439024397" u="1"/>
        <n v="0.96097653333333333" u="1"/>
        <n v="0.85229232558139534" u="1"/>
        <n v="0.95720714146341446" u="1"/>
        <n v="0.12181297999999983" u="1"/>
        <n v="0.81713465116279071" u="1"/>
        <n v="0.73562632273684214" u="1"/>
        <n v="0.82048465116279068" u="1"/>
        <n v="0.95837683333333334" u="1"/>
        <n v="0.14039376000000003" u="1"/>
        <n v="0.92548142494736829" u="1"/>
        <n v="0.52376917647060584" u="1"/>
        <n v="0.28595645699999978" u="1"/>
        <n v="0.49292238756923074" u="1"/>
        <n v="0.89224813953488369" u="1"/>
        <n v="0.98832337242105284" u="1"/>
        <n v="0.94357348837209298" u="1"/>
        <n v="0.33284358999999869" u="1"/>
        <n v="0.3328435899999988" u="1"/>
        <n v="0.46005674582524275" u="1"/>
        <n v="0.48817968796116501" u="1"/>
        <n v="0.95830805555555543" u="1"/>
        <n v="0.80453666092631582" u="1"/>
        <n v="0.94925837209302333" u="1"/>
        <n v="0.78573503333333339" u="1"/>
        <n v="0.81218936585365842" u="1"/>
        <n v="0.31000314999999973" u="1"/>
        <n v="0.31000314999999984" u="1"/>
        <n v="0.69803069767441861" u="1"/>
        <n v="0.11604094117646863" u="1"/>
        <n v="0.829166511627907" u="1"/>
        <n v="0.11359689099999926" u="1"/>
        <n v="0.82112380487804881" u="1"/>
        <n v="0.58503616168421058" u="1"/>
        <n v="0.05" u="1"/>
        <n v="0.54994686111111113" u="1"/>
        <n v="0.82199102439024407" u="1"/>
        <n v="0.47472001904761901" u="1"/>
        <n v="0.83862189999999992" u="1"/>
        <n v="0.49143532155339814" u="1"/>
        <n v="0.9902814736842106" u="1"/>
        <n v="0.76928391063157908" u="1"/>
        <n v="0.61736720930232558" u="1"/>
        <n v="0.57818734444444453" u="1"/>
        <n v="0.90875860465116276" u="1"/>
        <n v="0.60722551111111089" u="1"/>
        <n v="0.87792531111111105" u="1"/>
        <n v="0.95968506666666664" u="1"/>
        <n v="0.84239418604651162" u="1"/>
        <n v="0.46285999999999999" u="1"/>
        <n v="0.57272303888888898" u="1"/>
        <n v="0.79417584444444467" u="1"/>
        <n v="0.25796674699999811" u="1"/>
        <n v="0.89656893741052635" u="1"/>
        <n v="0.41469424990291248" u="1"/>
        <n v="0.60916712004102569" u="1"/>
        <n v="0.74004338589473662" u="1"/>
        <n v="0.43035160465116279" u="1"/>
        <n v="0.80703417222222207" u="1"/>
        <n v="0.33114358999999866" u="1"/>
        <n v="0.80622097560975625" u="1"/>
        <n v="0.97580480000000003" u="1"/>
        <n v="0.88919069767441861" u="1"/>
        <n v="0.88708069767441866" u="1"/>
        <n v="0.93597937222222227" u="1"/>
        <n v="0.91195165000000011" u="1"/>
        <n v="0.68363731111111115" u="1"/>
        <n v="0.9873136166666665" u="1"/>
        <n v="0.53736852646153854" u="1"/>
        <n v="0.29039627999999967" u="1"/>
        <n v="0.2711632058823582" u="1"/>
        <n v="0.88500441860465107" u="1"/>
        <n v="0.7384650930232558" u="1"/>
        <n v="0.84062692682926843" u="1"/>
        <n v="0.91298511627906975" u="1"/>
        <n v="0.87464558139534887" u="1"/>
        <n v="0.76004230232558145" u="1"/>
        <n v="0.72907604651162794" u="1"/>
        <n v="0.5749913333333333" u="1"/>
        <n v="0.87627860465116281" u="1"/>
        <n v="0.31933423529411759" u="1"/>
        <n v="0.14413250000000005" u="1"/>
        <n v="0.7768004780487805" u="1"/>
        <n v="0.68129053658536576" u="1"/>
        <n v="0.82449307317073173" u="1"/>
        <n v="0.50044697674418603" u="1"/>
        <n v="0.84748584390243908" u="1"/>
        <n v="0.58981588888888892" u="1"/>
        <n v="0.28644882999999977" u="1"/>
        <n v="0.98730280555555594" u="1"/>
        <n v="0.56037646147368425" u="1"/>
        <n v="0.72552248105263173" u="1"/>
        <n v="0.81948809756097551" u="1"/>
        <n v="0.76618516097560985" u="1"/>
        <n v="0.32460135294117648" u="1"/>
        <n v="0.9859616000000001" u="1"/>
        <n v="0.1307686400000003" u="1"/>
        <n v="0.74286028292682937" u="1"/>
        <n v="0.44900907592233003" u="1"/>
        <n v="0.74669470588239995" u="1"/>
        <n v="0.99196585555555494" u="1"/>
        <n v="0.97436466666666666" u="1"/>
        <n v="0.88576881395348839" u="1"/>
        <n v="0.89388910555555579" u="1"/>
        <n v="0.95654953488372108" u="1"/>
        <n v="0.93651256111111147" u="1"/>
        <n v="0.79270860465116277" u="1"/>
        <n v="0.98816751111111123" u="1"/>
        <n v="0.73884234146341465" u="1"/>
        <n v="0.72246575609756103" u="1"/>
        <n v="0.25736921200000024" u="1"/>
        <n v="0.28442788799999974" u="1"/>
        <n v="0.40412147058823528" u="1"/>
        <n v="0.37148887000000003" u="1"/>
        <n v="0.88518478888888896" u="1"/>
        <n v="0.99120474444444451" u="1"/>
        <n v="0.86884348837209302" u="1"/>
        <n v="0.64915770800000006" u="1"/>
        <n v="0.8291840390243902" u="1"/>
        <n v="0.41547253488372093" u="1"/>
        <n v="0.95089513333333331" u="1"/>
        <n v="0.35918134883720931" u="1"/>
        <n v="0.81786414634146343" u="1"/>
        <n v="0.69923372093023251" u="1"/>
        <n v="0.95871033333333255" u="1"/>
        <n v="0.29096037000000008" u="1"/>
        <n v="0.41190768899999997" u="1"/>
        <n v="0.86102139534883715" u="1"/>
        <n v="0.40137606699999795" u="1"/>
        <n v="0.64224359999999991" u="1"/>
        <n v="0.8199889170731709" u="1"/>
        <n v="0.67035869589473684" u="1"/>
        <n v="0.6365491176470861" u="1"/>
        <n v="0.75430209302325579" u="1"/>
        <n v="0.96653997674418601" u="1"/>
        <n v="0.4989859411764706" u="1"/>
        <n v="0.54980261410526321" u="1"/>
        <n v="0.58565581605128203" u="1"/>
        <n v="0.84667609756097562" u="1"/>
        <n v="0.43850396544660203" u="1"/>
        <n v="0.77787162790697673" u="1"/>
        <n v="0.47907026415533976" u="1"/>
        <n v="0.99051542439024376" u="1"/>
        <n v="0.81490395348837208" u="1"/>
        <n v="0.82751807484210527" u="1"/>
        <n v="0.69748325581395343" u="1"/>
        <n v="0.87668185365853668" u="1"/>
        <n v="0.18641058000000044" u="1"/>
        <n v="0.42768869900970879" u="1"/>
        <n v="0.76125019473684219" u="1"/>
        <n v="0.93744770000000022" u="1"/>
        <n v="0.98646978536585372" u="1"/>
        <n v="0.52877315178947371" u="1"/>
        <n v="0.77215541176478486" u="1"/>
        <n v="0.87504558139534883" u="1"/>
        <n v="0.98327130526315787" u="1"/>
        <n v="0.94503231219512196" u="1"/>
        <n v="0.12246183900000006" u="1"/>
        <n v="0.79019689756097544" u="1"/>
        <n v="0.82176241111111104" u="1"/>
        <n v="0.34775417647058821" u="1"/>
        <n v="0.99283643157894752" u="1"/>
        <n v="0.68479635294117647" u="1"/>
        <n v="0.80828699063157894" u="1"/>
        <n v="0.1766723789999996" u="1"/>
        <n v="0.1212170799999997" u="1"/>
        <n v="0.79526068292682928" u="1"/>
        <n v="0.95539363284210532" u="1"/>
        <n v="0.12121707999999984" u="1"/>
        <n v="0.99785133333333331" u="1"/>
        <n v="0.17667237900000005" u="1"/>
        <n v="0.72604574634146346" u="1"/>
        <n v="0.85946607222222238" u="1"/>
        <n v="0.78186840975609762" u="1"/>
        <n v="0.70942602325581394" u="1"/>
        <n v="0.89747278048780499" u="1"/>
        <n v="0.73417325581395354" u="1"/>
        <n v="0.89430870000000018" u="1"/>
        <n v="0.63541945000000011" u="1"/>
        <n v="0.95953651162790687" u="1"/>
        <n v="0.9108752" u="1"/>
        <n v="0.98179369767441871" u="1"/>
        <n v="0.99823154736842135" u="1"/>
        <n v="0.81932290094736837" u="1"/>
        <n v="0.1736961839999995" u="1"/>
        <n v="0.38344627999999831" u="1"/>
        <n v="0.85972509444444456" u="1"/>
        <n v="0.15261988235294144" u="1"/>
        <n v="0.9747237853658538" u="1"/>
        <n v="0.85168441860465116" u="1"/>
        <n v="0.31267250599999885" u="1"/>
        <n v="0.66709965067368404" u="1"/>
        <n v="0.91093795" u="1"/>
        <n v="0.67872983333333348" u="1"/>
        <n v="0.87592438333333311" u="1"/>
        <n v="0.21190449999999775" u="1"/>
        <n v="0.79339466410526327" u="1"/>
        <n v="0.59683340000000007" u="1"/>
        <n v="0.91908206976744189" u="1"/>
        <n v="0.90375830526315792" u="1"/>
        <n v="0.78318697674418614" u="1"/>
        <n v="0.47140255813953486" u="1"/>
        <n v="0.97802232558139535" u="1"/>
        <n v="0.51921089456410252" u="1"/>
        <n v="0.47197757106796123" u="1"/>
        <n v="0.5895577833333332" u="1"/>
        <n v="0.28836513399999986" u="1"/>
        <n v="0.96335325581395348" u="1"/>
        <n v="0.25646288235294096" u="1"/>
        <n v="0.82451009302325584" u="1"/>
        <n v="0.60537688333333328" u="1"/>
        <n v="0.83071906976744192" u="1"/>
        <n v="0.95893339999999982" u="1"/>
        <n v="0.88728581395348838" u="1"/>
        <n v="0.9839805222222221" u="1"/>
        <n v="0.99356519999999993" u="1"/>
        <n v="0.76982262439024374" u="1"/>
        <n v="0.71921072195121949" u="1"/>
        <n v="0.58004379444444443" u="1"/>
        <n v="0.98718159999999999" u="1"/>
        <n v="0.82737541463414632" u="1"/>
        <n v="0.56195169444444459" u="1"/>
        <n v="0.19268575400000004" u="1"/>
        <n v="0.93791558139534881" u="1"/>
        <n v="0.41665957099999856" u="1"/>
        <n v="0.14531106200000038" u="1"/>
        <n v="0.39813275899999989" u="1"/>
        <n v="0.90766753333333283" u="1"/>
        <n v="0.95065976744186043" u="1"/>
        <n v="0.5916432611111111" u="1"/>
        <n v="0.93120434444444411" u="1"/>
        <n v="0.62428835294117646" u="1"/>
        <n v="0.8263764883720931" u="1"/>
        <n v="0.60644690000000001" u="1"/>
        <n v="0.92314537777777772" u="1"/>
        <n v="0.94240701111111091" u="1"/>
        <n v="0.14272644000000015" u="1"/>
        <n v="0.92129980555555568" u="1"/>
        <n v="0.89207724210526296" u="1"/>
        <n v="0.24993024999999833" u="1"/>
        <n v="0.27565461764706445" u="1"/>
        <n v="0.61699565113846133" u="1"/>
        <n v="0.3247320588235294" u="1"/>
        <n v="0.82202206976744185" u="1"/>
        <n v="0.7891139534883721" u="1"/>
        <n v="0.52101066666666662" u="1"/>
        <n v="0.21711664705882358" u="1"/>
        <n v="0.9775814842105266" u="1"/>
        <n v="0.52677652235897454" u="1"/>
        <n v="0.99067232558139529" u="1"/>
        <n v="0.7348820930232558" u="1"/>
        <n v="0.80262284878048806" u="1"/>
        <n v="0.76046069767441871" u="1"/>
        <n v="0.45907763446601946" u="1"/>
        <n v="0.98625759999999996" u="1"/>
        <n v="0.51665143249230772" u="1"/>
        <n v="0.28189091999999988" u="1"/>
        <n v="0.64729823529412844" u="1"/>
        <n v="0.89169744186046507" u="1"/>
        <n v="0.70472881666666676" u="1"/>
        <n v="0.76955154747368415" u="1"/>
        <n v="0.39446413999999835" u="1"/>
        <n v="0.67777116279069771" u="1"/>
        <n v="0.39446413999999846" u="1"/>
        <n v="0.81392976744186052" u="1"/>
        <n v="0.60706111111111105" u="1"/>
        <n v="0.7918536976744186" u="1"/>
        <n v="0.92410000000000003" u="1"/>
        <n v="0.90672604651162791" u="1"/>
        <n v="0.99489783157894729" u="1"/>
        <n v="0.62908014999999995" u="1"/>
        <n v="0.95124896842105267" u="1"/>
        <n v="0.59851196666666673" u="1"/>
        <n v="0.59163855555555545" u="1"/>
        <n v="0.96371439534883729" u="1"/>
        <n v="0.79957901463414638" u="1"/>
        <n v="0.45679660487378643" u="1"/>
        <n v="0.95646241052631564" u="1"/>
        <n v="0.72635088235299305" u="1"/>
        <n v="0.46597241176470588" u="1"/>
        <n v="0.22823705882352938" u="1"/>
        <n v="0.9148537472222229" u="1"/>
        <n v="0.17430018399999939" u="1"/>
        <n v="0.17430018399999953" u="1"/>
        <n v="0.11568799999999796" u="1"/>
        <n v="0.6715685294117647" u="1"/>
        <n v="0.80872025273684212" u="1"/>
        <n v="0.99867227317073159" u="1"/>
        <n v="0.62234999999999996" u="1"/>
        <n v="0.91181158611111057" u="1"/>
        <n v="0.25634523529411768" u="1"/>
        <n v="0.15778276470588265" u="1"/>
        <n v="0.79481794117647053" u="1"/>
        <n v="0.25634523529411796" u="1"/>
        <n v="0.98402702222222171" u="1"/>
        <n v="0.7801143953488372" u="1"/>
        <n v="0.79357892682926834" u="1"/>
        <n v="0.95583326666666668" u="1"/>
        <n v="0.41406855899999967" u="1"/>
        <n v="0.96668437777777683" u="1"/>
        <n v="0.75850965853658525" u="1"/>
        <n v="0.97354046511627912" u="1"/>
        <n v="0.47819563809523813" u="1"/>
        <n v="0.37931747058823528" u="1"/>
        <n v="0.3540337058823585" u="1"/>
        <n v="0.13039955199999995" u="1"/>
        <n v="0.77772865215789477" u="1"/>
        <n v="0.8945811388888889" u="1"/>
        <n v="0.93346935609756088" u="1"/>
        <n v="0.45235294117647057" u="1"/>
        <n v="0.5001747058823699" u="1"/>
        <n v="0.12889973999999996" u="1"/>
        <n v="0.45231341019417476" u="1"/>
        <n v="0.81325139534883728" u="1"/>
        <n v="0.91469067441860463" u="1"/>
        <n v="0.96945900317894729" u="1"/>
        <n v="0.67700378694736829" u="1"/>
        <n v="0.21002588235293951" u="1"/>
        <n v="0.95820439534883706" u="1"/>
        <n v="0.83159395121951218" u="1"/>
        <n v="0.60165999999999997" u="1"/>
        <n v="0.79178894117655529" u="1"/>
        <n v="0.49100947810526313" u="1"/>
        <n v="0.44346866347572828" u="1"/>
        <n v="0.79168975609756087" u="1"/>
        <n v="0.35951188235294118" u="1"/>
        <n v="0.63804334652631578" u="1"/>
        <n v="0.78405395348837204" u="1"/>
        <n v="0.16651336699999944" u="1"/>
        <n v="0.47805952125242707" u="1"/>
        <n v="0.32294334699999977" u="1"/>
        <n v="0.49800825446153846" u="1"/>
        <n v="0.5808714985263157" u="1"/>
        <n v="0.84463393023255817" u="1"/>
        <n v="0.71523672222222212" u="1"/>
        <n v="0.66399582352944009" u="1"/>
        <n v="0.87060535555555585" u="1"/>
        <n v="0.56252943888888884" u="1"/>
        <n v="0.95368635555555237" u="1"/>
        <n v="0.73212594117652019" u="1"/>
        <n v="0.41218413999999837" u="1"/>
        <n v="0.62895467336410249" u="1"/>
        <n v="0.93809826666666685" u="1"/>
        <n v="0.82421866111111108" u="1"/>
        <n v="0.76110893157894743" u="1"/>
        <n v="0.95462714146341465" u="1"/>
        <n v="0.97130173333333336" u="1"/>
        <n v="0.9554969333333333" u="1"/>
        <n v="0.83139943333333333" u="1"/>
        <n v="0.17597984699999927" u="1"/>
        <n v="0.76133790697674419" u="1"/>
        <n v="0.78298907317073163" u="1"/>
        <n v="0.63956242547368414" u="1"/>
        <n v="0.49153429796116516" u="1"/>
        <n v="0.8435337209302326" u="1"/>
        <n v="0.82795495555555565" u="1"/>
        <n v="0.59557787178947375" u="1"/>
        <n v="0.81635775609756089" u="1"/>
        <n v="0.87559372093023258" u="1"/>
        <n v="0.85919069767441858" u="1"/>
        <n v="0.98965406666666667" u="1"/>
        <n v="0.90053134189473694" u="1"/>
        <n v="0.80889858139534887" u="1"/>
        <n v="0.83596847804878049" u="1"/>
        <n v="0.82539414634146346" u="1"/>
        <n v="0.2151309109999994" u="1"/>
        <n v="0.86194604651162787" u="1"/>
        <n v="0.76352214634146354" u="1"/>
        <n v="0.65726255813953482" u="1"/>
        <n v="0.46877496805825264" u="1"/>
        <n v="0.928246712195122" u="1"/>
        <n v="0.81085951219512209" u="1"/>
        <n v="0.56564419999999993" u="1"/>
        <n v="0.61715442926829278" u="1"/>
        <n v="0.3957052941176471" u="1"/>
        <n v="0.9338671999999999" u="1"/>
        <n v="0.91896077777777785" u="1"/>
        <n v="0.22326235294117597" u="1"/>
        <n v="0.29846906999999961" u="1"/>
        <n v="0.96841797073170732" u="1"/>
        <n v="0.90815628292682926" u="1"/>
        <n v="0.96300079999999999" u="1"/>
        <n v="0.58360086694736846" u="1"/>
        <n v="0.4255051568349516" u="1"/>
        <n v="0.99678939999999994" u="1"/>
        <n v="0.79251502777777794" u="1"/>
        <n v="0.47067120886407776" u="1"/>
        <n v="0.57010987777777766" u="1"/>
        <n v="0.70111589268292684" u="1"/>
        <n v="0.96735837209302322" u="1"/>
        <n v="0.82307921951219509" u="1"/>
        <n v="0.41825166999999991" u="1"/>
        <n v="0.81586860465116284" u="1"/>
        <n v="0.42097647058823523" u="1"/>
        <n v="0.41231888235294478" u="1"/>
        <n v="0.98064466666666672" u="1"/>
        <n v="0.90061218400000009" u="1"/>
        <n v="0.99722960975609753" u="1"/>
        <n v="0.88020834883720933" u="1"/>
        <n v="0.22667541176470637" u="1"/>
        <n v="0.7871923255813954" u="1"/>
        <n v="0.6212137000000002" u="1"/>
        <n v="0.75607160975609755" u="1"/>
        <n v="0.69386781463414637" u="1"/>
        <n v="0.22410549000000074" u="1"/>
        <n v="0.76810927804878038" u="1"/>
        <n v="0.95313279069767431" u="1"/>
        <n v="0.19375382352940773" u="1"/>
        <n v="0.81545589268292684" u="1"/>
        <n v="0.90792545365853661" u="1"/>
        <n v="0.88552388372093027" u="1"/>
        <n v="0.58060624444444475" u="1"/>
        <n v="0.92462642926829264" u="1"/>
        <n v="0.58718517221052624" u="1"/>
        <n v="0.90706581395348829" u="1"/>
        <n v="0.49409330555555558" u="1"/>
        <n v="0.56854141176470585" u="1"/>
        <n v="0.89340438048780468" u="1"/>
        <n v="0.97465462790697677" u="1"/>
        <n v="0.65155599024390243" u="1"/>
        <n v="0.70682962222222223" u="1"/>
        <n v="0.99481773333333334" u="1"/>
        <n v="0.98304330526315797" u="1"/>
        <n v="0.74213627906976742" u="1"/>
        <n v="0.93829622222222198" u="1"/>
        <n v="0.4088" u="1"/>
        <n v="0.44820700728155344" u="1"/>
        <n v="0.68854462790697679" u="1"/>
        <n v="0.97036773333333326" u="1"/>
        <n v="0.56793822063157884" u="1"/>
        <n v="0.56355699444444451" u="1"/>
        <n v="0.50836446651456335" u="1"/>
        <n v="0.64056819116842134" u="1"/>
        <n v="0.94601573333333333" u="1"/>
        <n v="0.34685764705882882" u="1"/>
        <n v="0.56644584020512823" u="1"/>
        <n v="0.42600705882352941" u="1"/>
        <n v="0.71551911263157897" u="1"/>
        <n v="0.9167523255813953" u="1"/>
        <n v="0.63421414634146334" u="1"/>
        <n v="0.536790705882357" u="1"/>
        <n v="0.72628206027368436" u="1"/>
        <n v="0.99154089756097563" u="1"/>
        <n v="0.6254826652631581" u="1"/>
        <n v="0.28512991999999998" u="1"/>
        <n v="0.99367460000000007" u="1"/>
        <n v="0.53628045705263161" u="1"/>
        <n v="0.82158429268292676" u="1"/>
        <n v="0.75251969756097548" u="1"/>
        <n v="0.87625413658536588" u="1"/>
        <n v="0.82200372093023255" u="1"/>
        <n v="0.75118973658536592" u="1"/>
        <n v="0.73882023255813956" u="1"/>
        <n v="0.78604325581395351" u="1"/>
        <n v="0.94924141463414657" u="1"/>
        <n v="0.65307131707317068" u="1"/>
        <n v="0.46035637749514563" u="1"/>
        <n v="0.92307773333333332" u="1"/>
        <n v="0.8219590777777781" u="1"/>
        <n v="0.68735145715789481" u="1"/>
        <n v="0.80247784390243904" u="1"/>
        <n v="0.11939357999999971" u="1"/>
        <n v="0.77471083902439009" u="1"/>
        <n v="0.22743352941176506" u="1"/>
        <n v="0.11939357999999985" u="1"/>
        <n v="0.52330227682051289" u="1"/>
        <n v="0.90346234444444451" u="1"/>
        <n v="0.84954652777777784" u="1"/>
        <n v="0.91474614444444446" u="1"/>
        <n v="0.83005093023255816" u="1"/>
        <n v="0.96358883720930233" u="1"/>
        <n v="0.12017765999999909" u="1"/>
        <n v="0.67756981894736834" u="1"/>
        <n v="0.96212039999999999" u="1"/>
        <n v="0.22055374" u="1"/>
        <n v="0.86709417473684192" u="1"/>
        <n v="0.36474247058824272" u="1"/>
        <n v="0.55297585555555551" u="1"/>
        <n v="0.87789186046511625" u="1"/>
        <n v="0.72295672093023255" u="1"/>
        <n v="0.24378133999999987" u="1"/>
        <n v="0.75703383414634151" u="1"/>
        <n v="0.4963354611111111" u="1"/>
        <n v="0.21031799300000131" u="1"/>
        <n v="0.24933402941176758" u="1"/>
        <n v="0.70194505882352931" u="1"/>
        <n v="0.9490672333333332" u="1"/>
        <n v="0.68144046511627909" u="1"/>
        <n v="0.19382167647058435" u="1"/>
        <n v="0.76460542115789476" u="1"/>
        <n v="0.91973868333333364" u="1"/>
        <n v="0.95895562105263177" u="1"/>
        <n v="0.98737573333333339" u="1"/>
        <n v="0.99787066666666668" u="1"/>
        <n v="0.89544580000000007" u="1"/>
        <n v="0.8403514146341462" u="1"/>
        <n v="0.41337647058823529" u="1"/>
        <n v="0.22301399999999991" u="1"/>
        <n v="0.96104773333333338" u="1"/>
        <n v="0.14859935294117296" u="1"/>
        <n v="0.1485993529411731" u="1"/>
        <n v="0.9681853488372093" u="1"/>
        <n v="0.96673753333333334" u="1"/>
        <n v="0.13380862000000007" u="1"/>
        <n v="0.92169950555555547" u="1"/>
        <n v="0.73853488372093024" u="1"/>
        <n v="0.74169486046511623" u="1"/>
        <n v="0.61162365088205128" u="1"/>
        <n v="0.8362278733473687" u="1"/>
        <n v="0.90799462790697683" u="1"/>
        <n v="0.79238084444444434" u="1"/>
        <n v="0.91688617777777792" u="1"/>
        <n v="0.91752837209302318" u="1"/>
        <n v="0.91282625581395349" u="1"/>
        <n v="0.96429116279069771" u="1"/>
        <n v="0.47656162633980598" u="1"/>
        <n v="0.71079618536585365" u="1"/>
        <n v="0.98473600000000006" u="1"/>
        <n v="0.59313982352941175" u="1"/>
        <n v="0.2495937647058824" u="1"/>
        <n v="0.36260662299999891" u="1"/>
        <n v="0.98453802105263155" u="1"/>
        <n v="0.90548833021052633" u="1"/>
        <n v="0.98113767441860456" u="1"/>
        <n v="0.6943878837209303" u="1"/>
        <n v="0.36261623529412046" u="1"/>
        <n v="0.36908137209302327" u="1"/>
        <n v="0.44476294999999794" u="1"/>
        <n v="0.44476294999999821" u="1"/>
        <n v="0.68572927906976744" u="1"/>
        <n v="0.47975288811650491" u="1"/>
        <n v="0.12936264000000008" u="1"/>
        <n v="0.59658841666666651" u="1"/>
        <n v="0.92545790697674424" u="1"/>
        <n v="0.96742026666666669" u="1"/>
        <n v="0.96500753170731701" u="1"/>
        <n v="0.75944623414634149" u="1"/>
        <n v="0.88885144999999965" u="1"/>
        <n v="0.96277614634146358" u="1"/>
        <n v="0.17062149000000004" u="1"/>
        <n v="0.59087326673684215" u="1"/>
        <n v="0.71992435294121659" u="1"/>
        <n v="0.90574246315789486" u="1"/>
        <n v="0.45600783925242722" u="1"/>
        <n v="0.2170673823529399" u="1"/>
        <n v="0.60782114999999992" u="1"/>
        <n v="0.49561119733009706" u="1"/>
        <n v="0.72246974418604659" u="1"/>
        <n v="0.69982581395348842" u="1"/>
        <n v="0.49410464444444452" u="1"/>
        <n v="0.81776904651162785" u="1"/>
        <n v="0.99882719999999992" u="1"/>
        <n v="0.31176052399999976" u="1"/>
        <n v="0.70941821666666671" u="1"/>
        <n v="0.29890391999999794" u="1"/>
        <n v="0.53583292484210532" u="1"/>
        <n v="0.96870311219512184" u="1"/>
        <n v="0.4601947877669903" u="1"/>
        <n v="0.89962096585365836" u="1"/>
        <n v="0.82747531707317068" u="1"/>
        <n v="0.9031458398421055" u="1"/>
        <n v="0.55962556666666652" u="1"/>
        <n v="0.74352579069767444" u="1"/>
        <n v="0.74636509302325582" u="1"/>
        <n v="0.64604789268292684" u="1"/>
        <n v="0.29411974999999813" u="1"/>
        <n v="0.91596434444444441" u="1"/>
        <n v="0.80328164878048791" u="1"/>
        <n v="0.72987060694736838" u="1"/>
        <n v="0.39640495299999967" u="1"/>
        <n v="0.14413231199999943" u="1"/>
        <n v="0.88182811627906976" u="1"/>
        <n v="0.14413231199999957" u="1"/>
        <n v="0.44335213999999873" u="1"/>
        <n v="0.73717904651162791" u="1"/>
        <n v="0.24420133999999977" u="1"/>
        <n v="0.93569881951219502" u="1"/>
        <n v="0.99968760000000012" u="1"/>
        <n v="0.8431443529411764" u="1"/>
        <n v="0.66089857115789474" u="1"/>
        <n v="0.8818921999999999" u="1"/>
        <n v="0.88417130555555523" u="1"/>
        <n v="0.53017463888888872" u="1"/>
        <n v="0.78137765000000015" u="1"/>
        <n v="0.27109981200000066" u="1"/>
        <n v="0.94677279069767439" u="1"/>
        <n v="0.56873398994871804" u="1"/>
        <n v="0.74085486046511628" u="1"/>
        <n v="0.86889767222222247" u="1"/>
        <n v="0.89308651578947373" u="1"/>
        <n v="0.95317132222222223" u="1"/>
        <n v="0.56618128333333329" u="1"/>
        <n v="0.99989930232558144" u="1"/>
        <n v="0.91646305000000006" u="1"/>
        <n v="0.55385459999999997" u="1"/>
        <n v="0.88339647804878063" u="1"/>
        <n v="0.55892882989473691" u="1"/>
        <n v="0.89515810555555564" u="1"/>
        <n v="0.31250416999999797" u="1"/>
        <n v="0.52073306757894722" u="1"/>
        <n v="0.63068780748717945" u="1"/>
        <n v="0.36249858823529729" u="1"/>
        <n v="0.51364935" u="1"/>
        <n v="0.81700626341463423" u="1"/>
        <n v="0.96353534883720937" u="1"/>
        <n v="0.81306692682926829" u="1"/>
        <n v="0.99030966666666664" u="1"/>
        <n v="0.70822633170731708" u="1"/>
        <n v="0.79552651694736842" u="1"/>
        <n v="0.44440588235294121" u="1"/>
        <n v="0.41098686399999979" u="1"/>
        <n v="0.43942362663106793" u="1"/>
        <n v="0.98572112610526341" u="1"/>
        <n v="0.73920897560975607" u="1"/>
        <n v="0.406414001999998" u="1"/>
        <n v="0.1008132352941164" u="1"/>
        <n v="0.83333894176842127" u="1"/>
      </sharedItems>
    </cacheField>
    <cacheField name="Estimated Unoccupied CBM" numFmtId="0">
      <sharedItems containsString="0" containsBlank="1" containsNumber="1" containsInteger="1" minValue="0" maxValue="0"/>
    </cacheField>
    <cacheField name="Forecasted occupancy CBM" numFmtId="0">
      <sharedItems containsNonDate="0" containsString="0" containsBlank="1"/>
    </cacheField>
    <cacheField name="Sellable CBM" numFmtId="0">
      <sharedItems containsString="0" containsBlank="1" containsNumber="1" containsInteger="1" minValue="0" maxValue="0"/>
    </cacheField>
    <cacheField name="DC2" numFmtId="0">
      <sharedItems/>
    </cacheField>
    <cacheField name="measurement" numFmtId="0">
      <sharedItems/>
    </cacheField>
    <cacheField name="Capacity" numFmtId="0">
      <sharedItems containsSemiMixedTypes="0" containsString="0" containsNumber="1" containsInteger="1" minValue="100" maxValue="2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hruhan Sivalogithan" refreshedDate="45128.407613888892" createdVersion="5" refreshedVersion="8" minRefreshableVersion="3" recordCount="902" xr:uid="{00000000-000A-0000-FFFF-FFFF40000000}">
  <cacheSource type="worksheet">
    <worksheetSource name="Table1"/>
  </cacheSource>
  <cacheFields count="7">
    <cacheField name="Month" numFmtId="0">
      <sharedItems containsMixedTypes="1" containsNumber="1" containsInteger="1" minValue="1" maxValue="12" count="49">
        <n v="8"/>
        <n v="9"/>
        <n v="10"/>
        <n v="11"/>
        <n v="12"/>
        <n v="1"/>
        <n v="2"/>
        <n v="3"/>
        <n v="4"/>
        <n v="5"/>
        <n v="6"/>
        <n v="7"/>
        <s v="2020-08"/>
        <s v="2020-09"/>
        <s v="2020-10"/>
        <s v="2020- 11"/>
        <s v="2020- 12"/>
        <s v="2021- 01"/>
        <s v="2021- 02"/>
        <s v="2021- 03"/>
        <s v="2021- 04"/>
        <s v="2021- 05"/>
        <s v="2021- 06"/>
        <s v="2021- 07"/>
        <s v="2021- 08"/>
        <s v="2021- 09"/>
        <s v="2021- 10"/>
        <s v="2021- 11"/>
        <s v="2021- 12"/>
        <s v="2022- 01"/>
        <s v="2022- 02"/>
        <s v="2022- 03"/>
        <s v="2022- 04"/>
        <s v="2022- 05"/>
        <s v="2022- 06"/>
        <s v="2022- 07"/>
        <s v="2022- 08"/>
        <s v="2022- 09"/>
        <s v="2022- 10"/>
        <s v="2022- 11"/>
        <s v="2022- 12"/>
        <s v="2023- 01"/>
        <s v="2023- 02"/>
        <s v="2023- 03"/>
        <s v="2023- 04"/>
        <s v="2023- 05"/>
        <s v="2023- 06"/>
        <s v="2023- 07"/>
        <s v="1900- 01"/>
      </sharedItems>
    </cacheField>
    <cacheField name="Date" numFmtId="14">
      <sharedItems containsNonDate="0" containsDate="1" containsString="0" containsBlank="1" minDate="2019-08-02T00:00:00" maxDate="2023-07-22T00:00:00" count="899">
        <d v="2019-08-02T00:00:00"/>
        <d v="2019-08-05T00:00:00"/>
        <d v="2019-08-07T00:00:00"/>
        <d v="2019-08-09T00:00:00"/>
        <d v="2019-08-12T00:00:00"/>
        <d v="2019-08-13T00:00:00"/>
        <d v="2019-08-15T00:00:00"/>
        <d v="2019-08-16T00:00:00"/>
        <d v="2019-08-23T00:00:00"/>
        <d v="2019-09-18T00:00:00"/>
        <d v="2019-09-19T00:00:00"/>
        <d v="2019-09-20T00:00:00"/>
        <d v="2019-09-21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7T00:00:00"/>
        <d v="2019-10-18T00:00:00"/>
        <d v="2019-10-21T00:00:00"/>
        <d v="2019-10-22T00:00:00"/>
        <d v="2019-10-23T00:00:00"/>
        <d v="2019-10-24T00:00:00"/>
        <d v="2019-10-28T00:00:00"/>
        <d v="2019-10-29T00:00:00"/>
        <d v="2019-10-30T00:00:00"/>
        <d v="2019-11-04T00:00:00"/>
        <d v="2019-11-06T00:00:00"/>
        <d v="2019-11-07T00:00:00"/>
        <d v="2019-11-11T00:00:00"/>
        <d v="2019-11-13T00:00:00"/>
        <d v="2019-11-14T00:00:00"/>
        <d v="2019-11-15T00:00:00"/>
        <d v="2019-11-18T00:00:00"/>
        <d v="2019-11-21T00:00:00"/>
        <d v="2019-11-22T00:00:00"/>
        <d v="2019-11-25T00:00:00"/>
        <d v="2019-11-26T00:00:00"/>
        <d v="2019-11-30T00:00:00"/>
        <d v="2019-12-03T00:00:00"/>
        <d v="2019-12-04T00:00:00"/>
        <d v="2019-12-05T00:00:00"/>
        <d v="2019-12-06T00:00:00"/>
        <d v="2019-12-09T00:00:00"/>
        <d v="2019-12-10T00:00:00"/>
        <d v="2019-12-12T00:00:00"/>
        <d v="2019-12-16T00:00:00"/>
        <d v="2019-12-17T00:00:00"/>
        <d v="2019-12-19T00:00:00"/>
        <d v="2019-12-20T00:00:00"/>
        <d v="2019-12-23T00:00:00"/>
        <d v="2019-12-26T00:00:00"/>
        <d v="2019-12-30T00:00:00"/>
        <d v="2020-01-02T00:00:00"/>
        <d v="2020-01-03T00:00:00"/>
        <d v="2020-01-06T00:00:00"/>
        <d v="2020-01-07T00:00:00"/>
        <d v="2020-01-08T00:00:00"/>
        <d v="2020-01-09T00:00:00"/>
        <d v="2020-01-13T00:00:00"/>
        <d v="2020-01-17T00:00:00"/>
        <d v="2020-01-20T00:00:00"/>
        <d v="2020-01-22T00:00:00"/>
        <d v="2020-01-23T00:00:00"/>
        <d v="2020-01-27T00:00:00"/>
        <d v="2020-01-29T00:00:00"/>
        <d v="2020-01-30T00:00:00"/>
        <d v="2020-02-03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10T00:00:00"/>
        <d v="2020-03-11T00:00:00"/>
        <d v="2020-03-12T00:00:00"/>
        <d v="2020-03-13T00:00:00"/>
        <d v="2020-03-17T00:00:00"/>
        <d v="2020-03-18T00:00:00"/>
        <d v="2020-03-19T00:00:00"/>
        <d v="2020-03-20T00:00:00"/>
        <d v="2020-03-23T00:00:00"/>
        <d v="2020-03-25T00:00:00"/>
        <d v="2020-03-26T00:00:00"/>
        <d v="2020-03-30T00:00:00"/>
        <d v="2020-04-01T00:00:00"/>
        <d v="2020-04-06T00:00:00"/>
        <d v="2020-04-09T00:00:00"/>
        <d v="2020-04-15T00:00:00"/>
        <d v="2020-04-20T00:00:00"/>
        <d v="2020-04-21T00:00:00"/>
        <d v="2020-04-22T00:00:00"/>
        <d v="2020-04-27T00:00:00"/>
        <d v="2020-04-28T00:00:00"/>
        <d v="2020-04-29T00:00:00"/>
        <d v="2020-04-30T00:00:00"/>
        <d v="2020-05-04T00:00:00"/>
        <d v="2020-05-05T00:00:00"/>
        <d v="2020-05-06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8-04T00:00:00"/>
        <d v="2020-08-05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8T00:00:00"/>
        <d v="2020-08-31T00:00:00"/>
        <d v="2020-09-02T00:00:00"/>
        <d v="2020-09-03T00:00:00"/>
        <d v="2020-09-04T00:00:00"/>
        <d v="2020-09-07T00:00:00"/>
        <d v="2020-09-08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30T00:00:00"/>
        <d v="2020-12-31T00:00:00"/>
        <d v="2021-01-0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9T00:00:00"/>
        <d v="2021-02-01T00:00:00"/>
        <d v="2021-02-02T00:00:00"/>
        <d v="2021-02-03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2T00:00:00"/>
        <d v="2021-04-05T00:00:00"/>
        <d v="2021-04-06T00:00:00"/>
        <d v="2021-04-07T00:00:00"/>
        <d v="2021-04-08T00:00:00"/>
        <d v="2021-04-09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6T00:00:00"/>
        <d v="2021-05-17T00:00:00"/>
        <d v="2021-05-18T00:00:00"/>
        <d v="2021-05-19T00:00:00"/>
        <d v="2021-05-20T00:00:00"/>
        <d v="2021-05-23T00:00:00"/>
        <d v="2021-05-25T00:00:00"/>
        <d v="2021-05-28T00:00:00"/>
        <d v="2021-05-31T00:00:00"/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20T00:00:00"/>
        <d v="2021-12-22T00:00:00"/>
        <d v="2021-12-23T00:00:00"/>
        <d v="2021-12-24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7T00:00:00"/>
        <d v="2022-02-08T00:00:00"/>
        <d v="2022-02-09T00:00:00"/>
        <d v="2022-02-10T00:00:00"/>
        <d v="2022-02-11T00:00:00"/>
        <d v="2022-02-15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5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7T00:00:00"/>
        <d v="2022-05-18T00:00:00"/>
        <d v="2022-05-20T00:00:00"/>
        <d v="2022-05-23T00:00:00"/>
        <d v="2022-05-24T00:00:00"/>
        <d v="2022-05-25T00:00:00"/>
        <d v="2022-05-26T00:00:00"/>
        <d v="2022-05-27T00:00:00"/>
        <d v="2022-05-30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5T00:00:00"/>
        <d v="2022-06-16T00:00:00"/>
        <d v="2022-06-17T00:00:00"/>
        <d v="2022-06-20T00:00:00"/>
        <d v="2022-06-21T00:00:00"/>
        <d v="2022-06-22T00:00:00"/>
        <d v="2022-06-23T00:00:00"/>
        <d v="2022-06-27T00:00:00"/>
        <d v="2022-06-28T00:00:00"/>
        <d v="2022-06-29T00:00:00"/>
        <d v="2022-06-30T00:00:00"/>
        <d v="2022-07-04T00:00:00"/>
        <d v="2022-07-05T00:00:00"/>
        <d v="2022-07-06T00:00:00"/>
        <d v="2022-07-07T00:00:00"/>
        <d v="2022-07-08T00:00:00"/>
        <d v="2022-07-11T00:00:00"/>
        <d v="2022-07-12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5T00:00:00"/>
        <d v="2022-09-06T00:00:00"/>
        <d v="2022-09-07T00:00:00"/>
        <d v="2022-09-09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8T00:00:00"/>
        <d v="2022-11-09T00:00:00"/>
        <d v="2022-11-10T00:00:00"/>
        <d v="2022-11-11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4T00:00:00"/>
        <d v="2022-11-25T00:00:00"/>
        <d v="2022-11-28T00:00:00"/>
        <d v="2022-11-30T00:00:00"/>
        <d v="2022-12-01T00:00:00"/>
        <d v="2022-12-02T00:00:00"/>
        <d v="2022-12-05T00:00:00"/>
        <d v="2022-12-06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2T00:00:00"/>
        <d v="2022-12-23T00:00:00"/>
        <d v="2022-12-27T00:00:00"/>
        <d v="2022-12-28T00:00:00"/>
        <d v="2022-12-29T00:00:00"/>
        <d v="2022-12-30T00:00:00"/>
        <d v="2023-01-02T00:00:00"/>
        <d v="2023-01-03T00:00:00"/>
        <d v="2023-01-04T00:00:00"/>
        <d v="2023-01-05T00:00:00"/>
        <d v="2023-01-09T00:00:00"/>
        <d v="2023-01-10T00:00:00"/>
        <d v="2023-01-11T00:00:00"/>
        <d v="2023-01-12T00:00:00"/>
        <d v="2023-01-13T00:00:00"/>
        <d v="2023-01-16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0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6T00:00:00"/>
        <d v="2023-04-07T00:00:00"/>
        <d v="2023-04-10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2T00:00:00"/>
        <d v="2023-05-03T00:00:00"/>
        <d v="2023-05-04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29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4T00:00:00"/>
        <d v="2023-06-15T00:00:00"/>
        <d v="2023-06-16T00:00:00"/>
        <d v="2023-06-19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4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21T00:00:00"/>
        <m/>
        <d v="2020-11-21T00:00:00" u="1"/>
        <d v="2022-04-02T00:00:00" u="1"/>
        <d v="2020-04-08T00:00:00" u="1"/>
        <d v="2022-06-04T00:00:00" u="1"/>
        <d v="2022-06-14T00:00:00" u="1"/>
        <d v="2021-05-24T00:00:00" u="1"/>
        <d v="2022-05-28T00:00:00" u="1"/>
        <d v="2022-11-14T00:00:00" u="1"/>
        <d v="2020-09-26T00:00:00" u="1"/>
        <d v="2022-01-01T00:00:00" u="1"/>
        <d v="2022-08-07T00:00:00" u="1"/>
        <d v="2022-05-29T00:00:00" u="1"/>
        <d v="2022-11-07T00:00:00" u="1"/>
        <d v="2021-12-05T00:00:00" u="1"/>
        <d v="2022-12-07T00:00:00" u="1"/>
      </sharedItems>
    </cacheField>
    <cacheField name="OFC" numFmtId="1">
      <sharedItems containsString="0" containsBlank="1" containsNumber="1" minValue="3423.1544740000004" maxValue="9805.2453999999998"/>
    </cacheField>
    <cacheField name="PFC" numFmtId="1">
      <sharedItems containsString="0" containsBlank="1" containsNumber="1" minValue="5456" maxValue="12846.862000000001"/>
    </cacheField>
    <cacheField name="EGF" numFmtId="0">
      <sharedItems containsString="0" containsBlank="1" containsNumber="1" minValue="8005.0807000000004" maxValue="22683.996399999996"/>
    </cacheField>
    <cacheField name="KFC" numFmtId="0">
      <sharedItems containsString="0" containsBlank="1" containsNumber="1" minValue="1890" maxValue="8952.6139999999996"/>
    </cacheField>
    <cacheField name="Ja Ela" numFmtId="0">
      <sharedItems containsString="0" containsBlank="1" containsNumber="1" minValue="551" maxValue="16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s v="CBM"/>
    <n v="18000"/>
    <n v="18071.055099999925"/>
    <s v="0"/>
    <n v="540"/>
    <s v="0"/>
  </r>
  <r>
    <x v="1"/>
    <s v="CBM"/>
    <n v="7500"/>
    <n v="8189.4740000000011"/>
    <s v="0"/>
    <n v="225"/>
    <s v="0"/>
  </r>
  <r>
    <x v="2"/>
    <s v="CBM"/>
    <n v="9500"/>
    <n v="9091.8427207000004"/>
    <n v="408.15727929999957"/>
    <n v="408.15727929999957"/>
    <s v="0"/>
  </r>
  <r>
    <x v="3"/>
    <s v="CBM"/>
    <n v="100"/>
    <n v="12.377879299999936"/>
    <n v="87.622120700000067"/>
    <n v="3"/>
    <n v="84.622120700000067"/>
  </r>
  <r>
    <x v="4"/>
    <s v="CBM"/>
    <n v="10250"/>
    <n v="11702.216"/>
    <s v="0"/>
    <n v="307.5"/>
    <s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">
  <r>
    <d v="2022-09-28T00:00:00"/>
    <n v="8343"/>
  </r>
  <r>
    <d v="2022-09-30T00:00:00"/>
    <n v="7360"/>
  </r>
  <r>
    <d v="2022-10-03T00:00:00"/>
    <n v="8525"/>
  </r>
  <r>
    <d v="2022-10-04T00:00:00"/>
    <n v="8721"/>
  </r>
  <r>
    <d v="2022-10-05T00:00:00"/>
    <n v="8850"/>
  </r>
  <r>
    <d v="2022-10-06T00:00:00"/>
    <n v="9341"/>
  </r>
  <r>
    <d v="2022-10-07T00:00:00"/>
    <n v="9340"/>
  </r>
  <r>
    <d v="2022-10-10T00:00:00"/>
    <n v="10163"/>
  </r>
  <r>
    <d v="2022-10-11T00:00:00"/>
    <n v="9813"/>
  </r>
  <r>
    <d v="2022-10-12T00:00:00"/>
    <n v="9758"/>
  </r>
  <r>
    <d v="2022-10-13T00:00:00"/>
    <n v="9645"/>
  </r>
  <r>
    <d v="2022-10-14T00:00:00"/>
    <n v="9641"/>
  </r>
  <r>
    <d v="2022-10-17T00:00:00"/>
    <n v="10336"/>
  </r>
  <r>
    <d v="2022-10-18T00:00:00"/>
    <n v="10199"/>
  </r>
  <r>
    <d v="2022-10-19T00:00:00"/>
    <n v="10650"/>
  </r>
  <r>
    <d v="2022-10-20T00:00:00"/>
    <n v="10768"/>
  </r>
  <r>
    <d v="2022-10-21T00:00:00"/>
    <n v="10464"/>
  </r>
  <r>
    <d v="2022-10-25T00:00:00"/>
    <n v="10472"/>
  </r>
  <r>
    <d v="2022-10-26T00:00:00"/>
    <n v="9832"/>
  </r>
  <r>
    <d v="2022-10-27T00:00:00"/>
    <n v="9494"/>
  </r>
  <r>
    <d v="2022-10-28T00:00:00"/>
    <n v="9110"/>
  </r>
  <r>
    <d v="2022-10-31T00:00:00"/>
    <n v="9681"/>
  </r>
  <r>
    <d v="2022-11-01T00:00:00"/>
    <n v="10170"/>
  </r>
  <r>
    <d v="2022-11-02T00:00:00"/>
    <n v="10066"/>
  </r>
  <r>
    <d v="2022-11-03T00:00:00"/>
    <n v="10288"/>
  </r>
  <r>
    <d v="2022-11-04T00:00:00"/>
    <n v="10013"/>
  </r>
  <r>
    <d v="2022-11-08T00:00:00"/>
    <n v="10636"/>
  </r>
  <r>
    <d v="2022-11-16T00:00:00"/>
    <n v="10034"/>
  </r>
  <r>
    <d v="2022-11-17T00:00:00"/>
    <n v="10062"/>
  </r>
  <r>
    <d v="2022-11-18T00:00:00"/>
    <n v="10341"/>
  </r>
  <r>
    <d v="2022-11-21T00:00:00"/>
    <n v="10224"/>
  </r>
  <r>
    <d v="2022-11-22T00:00:00"/>
    <n v="9902"/>
  </r>
  <r>
    <d v="2022-11-23T00:00:00"/>
    <n v="9694"/>
  </r>
  <r>
    <d v="2022-11-24T00:00:00"/>
    <n v="9536"/>
  </r>
  <r>
    <d v="2022-11-25T00:00:00"/>
    <n v="10167"/>
  </r>
  <r>
    <d v="2022-11-28T00:00:00"/>
    <n v="10822"/>
  </r>
  <r>
    <d v="2022-11-30T00:00:00"/>
    <n v="10664"/>
  </r>
  <r>
    <d v="2022-12-01T00:00:00"/>
    <n v="10602"/>
  </r>
  <r>
    <d v="2022-12-05T00:00:00"/>
    <n v="11845"/>
  </r>
  <r>
    <d v="2022-12-06T00:00:00"/>
    <n v="11678"/>
  </r>
  <r>
    <d v="2022-12-08T00:00:00"/>
    <n v="11835"/>
  </r>
  <r>
    <d v="2022-12-09T00:00:00"/>
    <n v="12006"/>
  </r>
  <r>
    <d v="2022-12-12T00:00:00"/>
    <n v="12476"/>
  </r>
  <r>
    <d v="2022-12-13T00:00:00"/>
    <n v="12711"/>
  </r>
  <r>
    <d v="2022-12-14T00:00:00"/>
    <n v="12810"/>
  </r>
  <r>
    <d v="2022-12-15T00:00:00"/>
    <n v="12932"/>
  </r>
  <r>
    <d v="2022-12-16T00:00:00"/>
    <n v="12909"/>
  </r>
  <r>
    <d v="2022-12-19T00:00:00"/>
    <n v="13535"/>
  </r>
  <r>
    <d v="2022-12-20T00:00:00"/>
    <n v="13746"/>
  </r>
  <r>
    <d v="2022-12-22T00:00:00"/>
    <n v="14794"/>
  </r>
  <r>
    <d v="2022-12-23T00:00:00"/>
    <n v="15176"/>
  </r>
  <r>
    <d v="2022-12-27T00:00:00"/>
    <n v="15379"/>
  </r>
  <r>
    <d v="2022-12-28T00:00:00"/>
    <n v="15568.097000000002"/>
  </r>
  <r>
    <d v="2022-12-29T00:00:00"/>
    <n v="15280"/>
  </r>
  <r>
    <d v="2022-12-30T00:00:00"/>
    <n v="14726"/>
  </r>
  <r>
    <d v="2023-01-02T00:00:00"/>
    <n v="14390.222199999997"/>
  </r>
  <r>
    <d v="2023-01-03T00:00:00"/>
    <n v="14639.205299999998"/>
  </r>
  <r>
    <d v="2023-01-04T00:00:00"/>
    <n v="14056.068199999994"/>
  </r>
  <r>
    <d v="2023-01-05T00:00:00"/>
    <n v="14010.195500000003"/>
  </r>
  <r>
    <d v="2023-01-09T00:00:00"/>
    <n v="14649.064599999998"/>
  </r>
  <r>
    <d v="2023-01-10T00:00:00"/>
    <n v="14379.504300000001"/>
  </r>
  <r>
    <d v="2023-01-11T00:00:00"/>
    <n v="13829.158000000001"/>
  </r>
  <r>
    <d v="2023-01-12T00:00:00"/>
    <n v="13702.983700000004"/>
  </r>
  <r>
    <d v="2023-01-13T00:00:00"/>
    <n v="13285.889600000004"/>
  </r>
  <r>
    <d v="2023-01-16T00:00:00"/>
    <n v="13407.550399999998"/>
  </r>
  <r>
    <d v="2023-01-17T00:00:00"/>
    <n v="13404.920000000002"/>
  </r>
  <r>
    <d v="2023-01-18T00:00:00"/>
    <n v="13815.4949"/>
  </r>
  <r>
    <d v="2023-01-19T00:00:00"/>
    <n v="13651.629299999999"/>
  </r>
  <r>
    <d v="2023-01-20T00:00:00"/>
    <n v="13211.0677"/>
  </r>
  <r>
    <d v="2023-01-23T00:00:00"/>
    <n v="14502.334899999996"/>
  </r>
  <r>
    <d v="2023-01-24T00:00:00"/>
    <n v="13977.645399999999"/>
  </r>
  <r>
    <d v="2023-01-25T00:00:00"/>
    <n v="14148.111700000001"/>
  </r>
  <r>
    <d v="2023-01-26T00:00:00"/>
    <n v="14010.570299999996"/>
  </r>
  <r>
    <d v="2023-01-27T00:00:00"/>
    <n v="13723.7808"/>
  </r>
  <r>
    <d v="2023-01-30T00:00:00"/>
    <n v="14443.6744"/>
  </r>
  <r>
    <d v="2023-01-31T00:00:00"/>
    <n v="14239.100800000004"/>
  </r>
  <r>
    <m/>
    <m/>
  </r>
  <r>
    <d v="2023-02-02T00:00:00"/>
    <n v="14433.883500000002"/>
  </r>
  <r>
    <d v="2023-02-03T00:00:00"/>
    <n v="14188.5538"/>
  </r>
  <r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">
  <r>
    <x v="0"/>
    <d v="2022-10-25T00:00:00"/>
    <n v="3737"/>
    <n v="0"/>
    <n v="3915"/>
    <n v="86"/>
    <n v="2734"/>
  </r>
  <r>
    <x v="0"/>
    <d v="2022-10-26T00:00:00"/>
    <n v="3706"/>
    <n v="0"/>
    <n v="3618"/>
    <n v="86"/>
    <n v="2424"/>
  </r>
  <r>
    <x v="0"/>
    <d v="2022-10-27T00:00:00"/>
    <n v="3682"/>
    <n v="0"/>
    <n v="3536"/>
    <n v="85"/>
    <n v="2191"/>
  </r>
  <r>
    <x v="0"/>
    <d v="2022-10-28T00:00:00"/>
    <n v="3664"/>
    <n v="0"/>
    <n v="3621"/>
    <n v="87"/>
    <n v="2099"/>
  </r>
  <r>
    <x v="1"/>
    <d v="2022-10-31T00:00:00"/>
    <n v="4444"/>
    <n v="0"/>
    <n v="3118"/>
    <n v="87"/>
    <n v="2032"/>
  </r>
  <r>
    <x v="1"/>
    <d v="2022-11-01T00:00:00"/>
    <n v="5119"/>
    <n v="0"/>
    <n v="3035"/>
    <n v="86"/>
    <n v="1930"/>
  </r>
  <r>
    <x v="1"/>
    <d v="2022-11-02T00:00:00"/>
    <n v="4985"/>
    <n v="0"/>
    <n v="3163"/>
    <n v="85"/>
    <n v="1833"/>
  </r>
  <r>
    <x v="1"/>
    <d v="2022-11-03T00:00:00"/>
    <n v="5230"/>
    <n v="0"/>
    <n v="3202"/>
    <n v="87"/>
    <n v="1768"/>
  </r>
  <r>
    <x v="1"/>
    <d v="2022-11-04T00:00:00"/>
    <n v="5154"/>
    <n v="0"/>
    <n v="2959"/>
    <n v="87"/>
    <n v="1813"/>
  </r>
  <r>
    <x v="2"/>
    <d v="2022-11-08T00:00:00"/>
    <n v="5517"/>
    <n v="0"/>
    <n v="3068"/>
    <n v="87"/>
    <n v="1963"/>
  </r>
  <r>
    <x v="2"/>
    <d v="2022-11-09T00:00:00"/>
    <n v="5694.5284000000001"/>
    <n v="0"/>
    <n v="3193.5739640000002"/>
    <n v="87.063736000000006"/>
    <n v="1853.502"/>
  </r>
  <r>
    <x v="2"/>
    <d v="2022-11-10T00:00:00"/>
    <n v="5493.4440000000004"/>
    <n v="0"/>
    <n v="3503.5715639999999"/>
    <n v="87.063736000000006"/>
    <n v="1633.5740000000001"/>
  </r>
  <r>
    <x v="2"/>
    <d v="2022-11-11T00:00:00"/>
    <n v="5010.1535000000003"/>
    <n v="0"/>
    <n v="3603.2228639999998"/>
    <n v="87.063736000000006"/>
    <n v="1493.806"/>
  </r>
  <r>
    <x v="3"/>
    <d v="2022-11-14T00:00:00"/>
    <n v="5403.9971999999998"/>
    <n v="0"/>
    <n v="3455.1154552000007"/>
    <n v="86.198244799999955"/>
    <n v="1897"/>
  </r>
  <r>
    <x v="3"/>
    <d v="2022-11-15T00:00:00"/>
    <n v="5277.0668000000005"/>
    <n v="0"/>
    <n v="3340.4197552000014"/>
    <n v="86.198244799999955"/>
    <n v="1380.2560999999987"/>
  </r>
  <r>
    <x v="3"/>
    <d v="2022-11-16T00:00:00"/>
    <n v="5517"/>
    <n v="0"/>
    <n v="3068"/>
    <n v="87"/>
    <n v="1963"/>
  </r>
  <r>
    <x v="3"/>
    <d v="2022-11-17T00:00:00"/>
    <n v="5305.4051000000018"/>
    <n v="0"/>
    <n v="3379.2475640000002"/>
    <n v="87.195635999999979"/>
    <n v="1290.372000000003"/>
  </r>
  <r>
    <x v="3"/>
    <d v="2022-11-18T00:00:00"/>
    <n v="5748.6801999999989"/>
    <n v="0"/>
    <n v="3333.0017739999994"/>
    <n v="87.110026000000005"/>
    <n v="1172.3910000000033"/>
  </r>
  <r>
    <x v="4"/>
    <d v="2022-11-21T00:00:00"/>
    <n v="5647.1309000000037"/>
    <n v="0"/>
    <n v="3221.4635739999994"/>
    <n v="87.110026000000005"/>
    <n v="1268.3950999999997"/>
  </r>
  <r>
    <x v="4"/>
    <d v="2022-11-22T00:00:00"/>
    <n v="5314.8812999999991"/>
    <n v="0"/>
    <n v="3331.3582059999999"/>
    <n v="87.54589399999999"/>
    <n v="1168.6990999999998"/>
  </r>
  <r>
    <x v="4"/>
    <d v="2022-11-23T00:00:00"/>
    <n v="5266.2792000000009"/>
    <n v="0"/>
    <n v="3310.6593300000004"/>
    <n v="86.928069999999991"/>
    <n v="1029.7079999999987"/>
  </r>
  <r>
    <x v="4"/>
    <d v="2022-11-24T00:00:00"/>
    <n v="5125.7390000000014"/>
    <n v="0"/>
    <n v="3294.1029300000009"/>
    <n v="86.928069999999991"/>
    <n v="1028.8851000000013"/>
  </r>
  <r>
    <x v="4"/>
    <d v="2022-11-25T00:00:00"/>
    <n v="5647.7109"/>
    <n v="0"/>
    <n v="3414.6021838999977"/>
    <n v="87.753816099999995"/>
    <n v="1017.2301000000007"/>
  </r>
  <r>
    <x v="5"/>
    <d v="2022-11-28T00:00:00"/>
    <n v="5901.5324999999975"/>
    <n v="0"/>
    <n v="3332.5169551999998"/>
    <n v="86.960044800000006"/>
    <n v="1501.4901000000009"/>
  </r>
  <r>
    <x v="5"/>
    <d v="2022-11-29T00:00:00"/>
    <n v="5782.8629999999976"/>
    <n v="0"/>
    <n v="3288.8511080000007"/>
    <n v="87.87829200000003"/>
    <n v="1343.6620999999996"/>
  </r>
  <r>
    <x v="5"/>
    <d v="2022-11-30T00:00:00"/>
    <n v="5688.9015999999974"/>
    <n v="0"/>
    <n v="3424.1569580000005"/>
    <n v="88.06064200000003"/>
    <n v="1462.5731000000014"/>
  </r>
  <r>
    <x v="5"/>
    <d v="2022-12-01T00:00:00"/>
    <n v="5652.4049999999988"/>
    <n v="0"/>
    <n v="3447.0552579999985"/>
    <n v="88.060642000000016"/>
    <n v="1414.824099999998"/>
  </r>
  <r>
    <x v="5"/>
    <d v="2022-12-02T00:00:00"/>
    <n v="5876.4450999999972"/>
    <n v="0"/>
    <n v="3322.931607999999"/>
    <n v="87.87829200000003"/>
    <n v="1493.6900999999998"/>
  </r>
  <r>
    <x v="6"/>
    <d v="2022-12-05T00:00:00"/>
    <n v="6473.1258999999973"/>
    <n v="0"/>
    <n v="3438.5882080000001"/>
    <n v="87.87829200000003"/>
    <n v="1845.1135999999988"/>
  </r>
  <r>
    <x v="6"/>
    <d v="2022-12-06T00:00:00"/>
    <n v="6361"/>
    <n v="0"/>
    <n v="3478"/>
    <n v="88"/>
    <n v="1751"/>
  </r>
  <r>
    <x v="6"/>
    <d v="2022-12-08T00:00:00"/>
    <n v="6447.6391999999996"/>
    <n v="0"/>
    <n v="3557.0024081000001"/>
    <n v="87.118991899999983"/>
    <n v="1743.0175000000017"/>
  </r>
  <r>
    <x v="6"/>
    <d v="2022-12-09T00:00:00"/>
    <n v="6470.0084000000006"/>
    <n v="0"/>
    <n v="3953.6321979999993"/>
    <n v="87.896702000000019"/>
    <n v="1494.6045999999988"/>
  </r>
  <r>
    <x v="7"/>
    <d v="2022-12-12T00:00:00"/>
    <n v="6562"/>
    <n v="0"/>
    <n v="3959"/>
    <n v="88"/>
    <n v="1867"/>
  </r>
  <r>
    <x v="7"/>
    <d v="2022-12-13T00:00:00"/>
    <n v="6676.5573000000004"/>
    <n v="0"/>
    <n v="4204.8435979999986"/>
    <n v="74.270801999999961"/>
    <n v="1755.6279999999997"/>
  </r>
  <r>
    <x v="7"/>
    <d v="2022-12-14T00:00:00"/>
    <n v="7059.2193000000007"/>
    <n v="0"/>
    <n v="4039.8557934999999"/>
    <n v="74.207506499999965"/>
    <n v="1636.398000000001"/>
  </r>
  <r>
    <x v="7"/>
    <d v="2022-12-15T00:00:00"/>
    <n v="7158.1447000000007"/>
    <n v="0"/>
    <n v="4106.6766080000007"/>
    <n v="73.927591999999976"/>
    <n v="1593.0410000000011"/>
  </r>
  <r>
    <x v="7"/>
    <d v="2022-12-16T00:00:00"/>
    <n v="7308.6295000000027"/>
    <n v="0"/>
    <n v="3844.7612079999999"/>
    <n v="73.927591999999976"/>
    <n v="1681.3230999999996"/>
  </r>
  <r>
    <x v="8"/>
    <d v="2022-12-19T00:00:00"/>
    <n v="7350.4213"/>
    <n v="0"/>
    <n v="4227.1530579999999"/>
    <n v="75.03174199999998"/>
    <n v="1882.3330000000005"/>
  </r>
  <r>
    <x v="8"/>
    <d v="2022-12-20T00:00:00"/>
    <n v="7383.3140000000003"/>
    <n v="0"/>
    <n v="4424.0192212000011"/>
    <n v="74.263078799999974"/>
    <n v="1864.1801000000005"/>
  </r>
  <r>
    <x v="8"/>
    <d v="2022-12-21T00:00:00"/>
    <n v="7510.3125"/>
    <n v="0"/>
    <n v="4681.7930332000005"/>
    <n v="76.670066800000029"/>
    <n v="1828.7610000000004"/>
  </r>
  <r>
    <x v="8"/>
    <d v="2022-12-22T00:00:00"/>
    <n v="7951.248400000004"/>
    <n v="0"/>
    <n v="4944.0067212000004"/>
    <n v="74.263078799999974"/>
    <n v="1824.5919999999987"/>
  </r>
  <r>
    <x v="8"/>
    <d v="2022-12-23T00:00:00"/>
    <n v="8380.2063999999991"/>
    <n v="0"/>
    <n v="4947.0894212000012"/>
    <n v="74.263078799999974"/>
    <n v="1774.8909999999987"/>
  </r>
  <r>
    <x v="9"/>
    <d v="2022-12-27T00:00:00"/>
    <n v="8754.3117000000002"/>
    <n v="0"/>
    <n v="4687.6937780000007"/>
    <n v="75.992422000000005"/>
    <n v="1861.0500000000002"/>
  </r>
  <r>
    <x v="9"/>
    <d v="2022-12-28T00:00:00"/>
    <n v="8849.7106999999996"/>
    <n v="0"/>
    <n v="4696.2841332000007"/>
    <n v="76.670066800000029"/>
    <n v="1945.4321000000009"/>
  </r>
  <r>
    <x v="9"/>
    <d v="2022-12-29T00:00:00"/>
    <n v="8518.1428999999989"/>
    <n v="0"/>
    <n v="4712.6485331999993"/>
    <n v="76.670066800000029"/>
    <n v="1972.9171000000006"/>
  </r>
  <r>
    <x v="9"/>
    <d v="2022-12-30T00:00:00"/>
    <n v="7927"/>
    <n v="0"/>
    <n v="4648"/>
    <n v="77"/>
    <n v="2074"/>
  </r>
  <r>
    <x v="10"/>
    <d v="2023-01-02T00:00:00"/>
    <n v="7741.6108999999979"/>
    <n v="0"/>
    <n v="4364.9276070000005"/>
    <n v="67.241693000000041"/>
    <n v="2216.442"/>
  </r>
  <r>
    <x v="10"/>
    <d v="2023-01-03T00:00:00"/>
    <n v="7741.6108999999979"/>
    <n v="0"/>
    <n v="4613.9289069999986"/>
    <n v="67.223493000000047"/>
    <n v="2216.442"/>
  </r>
  <r>
    <x v="10"/>
    <d v="2023-01-04T00:00:00"/>
    <n v="7549.0875999999953"/>
    <n v="0"/>
    <n v="4498.1375069999995"/>
    <n v="70.153093000000041"/>
    <n v="1938.6899999999987"/>
  </r>
  <r>
    <x v="10"/>
    <d v="2023-01-05T00:00:00"/>
    <n v="7587.5352000000021"/>
    <n v="0"/>
    <n v="4437.5952070000003"/>
    <n v="69.001093000000026"/>
    <n v="1916.0640000000003"/>
  </r>
  <r>
    <x v="11"/>
    <d v="2023-01-09T00:00:00"/>
    <n v="7964.4169000000002"/>
    <n v="0"/>
    <n v="4510.6568669999997"/>
    <n v="58.174833000000007"/>
    <n v="2115.8159999999998"/>
  </r>
  <r>
    <x v="11"/>
    <d v="2023-01-10T00:00:00"/>
    <n v="7874.4701000000005"/>
    <n v="0"/>
    <n v="4418.3973669999996"/>
    <n v="61.375833000000029"/>
    <n v="2025.2609999999995"/>
  </r>
  <r>
    <x v="11"/>
    <d v="2023-01-11T00:00:00"/>
    <n v="7617.7955000000002"/>
    <n v="0"/>
    <n v="4300.9287758999999"/>
    <n v="60.186724100000013"/>
    <n v="1850.2470000000012"/>
  </r>
  <r>
    <x v="11"/>
    <d v="2023-01-12T00:00:00"/>
    <n v="7543.3211000000028"/>
    <s v="0"/>
    <n v="4256.3189869999997"/>
    <n v="63.289613000000003"/>
    <n v="1840.0539999999992"/>
  </r>
  <r>
    <x v="11"/>
    <d v="2023-01-13T00:00:00"/>
    <n v="7293.5246000000006"/>
    <s v="0"/>
    <n v="4098.4828870000019"/>
    <n v="62.851112999999998"/>
    <n v="1831.0310000000009"/>
  </r>
  <r>
    <x v="12"/>
    <d v="2023-01-16T00:00:00"/>
    <n v="7319.0607999999975"/>
    <s v="0"/>
    <n v="4001.1256693000005"/>
    <n v="62.761830700000019"/>
    <n v="2024.6021000000001"/>
  </r>
  <r>
    <x v="12"/>
    <d v="2023-01-17T00:00:00"/>
    <n v="7284.5316000000021"/>
    <s v="0"/>
    <n v="4164.361417000001"/>
    <n v="66.408883000000003"/>
    <n v="1889.6181000000006"/>
  </r>
  <r>
    <x v="12"/>
    <d v="2023-01-18T00:00:00"/>
    <n v="7603.2805000000008"/>
    <s v="0"/>
    <n v="4045.2256870000001"/>
    <n v="66.845612999999986"/>
    <n v="2100.1430999999993"/>
  </r>
  <r>
    <x v="12"/>
    <d v="2023-01-19T00:00:00"/>
    <n v="7299.0322999999989"/>
    <s v="0"/>
    <n v="3997.6797870000009"/>
    <n v="67.122113000000013"/>
    <n v="2287.7950999999994"/>
  </r>
  <r>
    <x v="12"/>
    <d v="2023-01-20T00:00:00"/>
    <n v="7072.9000000000015"/>
    <s v="0"/>
    <n v="3766.6706616999991"/>
    <n v="67.11793830000002"/>
    <n v="2304.379100000001"/>
  </r>
  <r>
    <x v="13"/>
    <d v="2023-01-23T00:00:00"/>
    <n v="8074.1433999999972"/>
    <s v="0"/>
    <n v="3810.6205795999995"/>
    <n v="67.265720400000021"/>
    <n v="2550.3051999999989"/>
  </r>
  <r>
    <x v="13"/>
    <d v="2023-01-24T00:00:00"/>
    <n v="7727.1242999999995"/>
    <s v="0"/>
    <n v="3786.6694039000004"/>
    <n v="67.460596100000032"/>
    <n v="2396.3911000000007"/>
  </r>
  <r>
    <x v="13"/>
    <d v="2023-01-25T00:00:00"/>
    <n v="7818.4044000000013"/>
    <s v="0"/>
    <n v="3865.7553814999992"/>
    <n v="67.349818499999998"/>
    <n v="2396.6020999999992"/>
  </r>
  <r>
    <x v="13"/>
    <d v="2023-01-26T00:00:00"/>
    <n v="7935.3845999999976"/>
    <s v="0"/>
    <n v="3740.0458448000009"/>
    <n v="67.609655200000034"/>
    <n v="2267.5301999999974"/>
  </r>
  <r>
    <x v="13"/>
    <d v="2023-01-27T00:00:00"/>
    <n v="7700.8861000000015"/>
    <s v="0"/>
    <n v="3617.6919347000003"/>
    <n v="67.705665300000021"/>
    <n v="2337.4970999999987"/>
  </r>
  <r>
    <x v="14"/>
    <d v="2023-01-30T00:00:00"/>
    <n v="8175.9812999999995"/>
    <s v="0"/>
    <n v="3734.2924014000018"/>
    <n v="67.724598600000022"/>
    <n v="2465.6760999999997"/>
  </r>
  <r>
    <x v="14"/>
    <d v="2023-01-31T00:00:00"/>
    <n v="8266.5714000000025"/>
    <s v="0"/>
    <n v="3600.7938770000001"/>
    <n v="67.710523000000023"/>
    <n v="2304.0250000000015"/>
  </r>
  <r>
    <x v="14"/>
    <d v="2023-02-01T00:00:00"/>
    <n v="8102"/>
    <n v="0"/>
    <n v="3759"/>
    <n v="72"/>
    <n v="2297"/>
  </r>
  <r>
    <x v="14"/>
    <d v="2023-02-02T00:00:00"/>
    <n v="8030.6172000000006"/>
    <s v="0"/>
    <n v="4100.9693769999994"/>
    <n v="71.706823000000014"/>
    <n v="2230.5901000000013"/>
  </r>
  <r>
    <x v="14"/>
    <d v="2023-02-03T00:00:00"/>
    <n v="8055.9601000000002"/>
    <s v="0"/>
    <n v="3912.3797770000001"/>
    <n v="71.706823000000014"/>
    <n v="2148.5070999999989"/>
  </r>
  <r>
    <x v="15"/>
    <d v="2023-02-06T00:00:00"/>
    <n v="8187.9422999999988"/>
    <s v="0"/>
    <n v="4245.3813330000012"/>
    <n v="71.588667000000015"/>
    <n v="2234.4660999999996"/>
  </r>
  <r>
    <x v="15"/>
    <d v="2023-02-07T00:00:00"/>
    <n v="8182.3826999999983"/>
    <s v="0"/>
    <n v="4304.9639830000015"/>
    <n v="71.355117000000021"/>
    <n v="2226.1869999999999"/>
  </r>
  <r>
    <x v="15"/>
    <d v="2023-02-08T00:00:00"/>
    <n v="7928.0825000000023"/>
    <s v="0"/>
    <n v="4238.859213400001"/>
    <n v="71.163486600000013"/>
    <n v="2069.7600000000002"/>
  </r>
  <r>
    <x v="15"/>
    <d v="2023-02-09T00:00:00"/>
    <n v="7724.4681999999993"/>
    <n v="0"/>
    <n v="4343.5734279999997"/>
    <n v="70.960372000000035"/>
    <n v="1960.9270000000033"/>
  </r>
  <r>
    <x v="15"/>
    <d v="2023-02-10T00:00:00"/>
    <n v="7593"/>
    <n v="0"/>
    <n v="4486"/>
    <n v="72"/>
    <n v="2063"/>
  </r>
  <r>
    <x v="16"/>
    <d v="2023-02-13T00:00:00"/>
    <n v="7950.2392999999975"/>
    <s v="0"/>
    <n v="4894.419519"/>
    <n v="71.989181000000002"/>
    <n v="2458.8889999999992"/>
  </r>
  <r>
    <x v="16"/>
    <d v="2023-02-14T00:00:00"/>
    <n v="7855.9740999999995"/>
    <s v="0"/>
    <n v="5340.0240919999997"/>
    <n v="71.487008000000003"/>
    <n v="2475.2760000000007"/>
  </r>
  <r>
    <x v="16"/>
    <d v="2023-02-15T00:00:00"/>
    <n v="7808.7368999999999"/>
    <s v="0"/>
    <n v="5223.9366457000006"/>
    <n v="71.404354300000023"/>
    <n v="2500.2660000000005"/>
  </r>
  <r>
    <x v="16"/>
    <d v="2023-02-16T00:00:00"/>
    <n v="7944.0865000000013"/>
    <s v="0"/>
    <n v="5375.3041514000006"/>
    <n v="71.809248600000018"/>
    <n v="2593.3990000000013"/>
  </r>
  <r>
    <x v="16"/>
    <d v="2023-02-17T00:00:00"/>
    <n v="7855.3341000000019"/>
    <s v="0"/>
    <n v="5347.1146920000001"/>
    <n v="71.810908000000012"/>
    <n v="2503.809000000002"/>
  </r>
  <r>
    <x v="17"/>
    <d v="2023-02-20T00:00:00"/>
    <n v="7882.3200999999972"/>
    <s v="0"/>
    <n v="5452.3386915999999"/>
    <n v="68.850908400000009"/>
    <n v="2543.9991"/>
  </r>
  <r>
    <x v="17"/>
    <d v="2023-02-21T00:00:00"/>
    <n v="7750.3301999999967"/>
    <s v="0"/>
    <n v="5466.8028370000002"/>
    <n v="70.90396299999999"/>
    <n v="2463.0431000000008"/>
  </r>
  <r>
    <x v="17"/>
    <d v="2023-02-22T00:00:00"/>
    <n v="7622.1767999999975"/>
    <s v="0"/>
    <n v="5257.7044132000001"/>
    <n v="73.710386800000009"/>
    <n v="2490.4031999999997"/>
  </r>
  <r>
    <x v="17"/>
    <d v="2023-02-23T00:00:00"/>
    <n v="7722.1756999999998"/>
    <s v="0"/>
    <n v="5485.9350785000006"/>
    <n v="75.1917215"/>
    <n v="2490.4031999999997"/>
  </r>
  <r>
    <x v="17"/>
    <d v="2023-02-24T00:00:00"/>
    <n v="7690.9852999999985"/>
    <s v="0"/>
    <n v="5489.5371470999999"/>
    <n v="74.433352900000017"/>
    <n v="2305.0040000000017"/>
  </r>
  <r>
    <x v="18"/>
    <d v="2023-02-27T00:00:00"/>
    <n v="8235.7334999999985"/>
    <s v="0"/>
    <n v="5645.0006403999996"/>
    <n v="75.523959600000012"/>
    <n v="2329.0679999999993"/>
  </r>
  <r>
    <x v="18"/>
    <d v="2023-02-28T00:00:00"/>
    <n v="8166.2885999999999"/>
    <s v="0"/>
    <n v="5627.272234"/>
    <n v="75.621866000000011"/>
    <n v="2266.0859999999993"/>
  </r>
  <r>
    <x v="18"/>
    <d v="2023-03-01T00:00:00"/>
    <n v="7938.690499999997"/>
    <s v="0"/>
    <n v="5397.8260340000006"/>
    <n v="75.579866000000024"/>
    <n v="2224.362000000001"/>
  </r>
  <r>
    <x v="18"/>
    <d v="2023-03-02T00:00:00"/>
    <n v="7415.0772000000015"/>
    <s v="0"/>
    <n v="5675.2065180000009"/>
    <n v="76.857582000000036"/>
    <n v="2146.3471"/>
  </r>
  <r>
    <x v="18"/>
    <d v="2023-03-03T00:00:00"/>
    <n v="7340.5331000000006"/>
    <s v="0"/>
    <n v="5640.8295182000002"/>
    <n v="76.718081800000036"/>
    <n v="2135.1800000000012"/>
  </r>
  <r>
    <x v="19"/>
    <d v="2023-03-07T00:00:00"/>
    <n v="7494.5988999999972"/>
    <s v="0"/>
    <n v="5561.4155179999998"/>
    <n v="76.945982000000043"/>
    <n v="2359.3181000000013"/>
  </r>
  <r>
    <x v="19"/>
    <d v="2023-03-08T00:00:00"/>
    <n v="7428.3666000000012"/>
    <s v="0"/>
    <n v="5438.6310179999991"/>
    <n v="76.945982000000029"/>
    <n v="2222.6640999999991"/>
  </r>
  <r>
    <x v="19"/>
    <d v="2023-03-09T00:00:00"/>
    <n v="7379.591000000004"/>
    <s v="0"/>
    <n v="5571.5003649999999"/>
    <n v="77.080335000000019"/>
    <n v="2059.7839999999997"/>
  </r>
  <r>
    <x v="19"/>
    <d v="2023-03-10T00:00:00"/>
    <n v="7261.1899999999969"/>
    <s v="0"/>
    <n v="5572.1343649999999"/>
    <n v="75.668335000000013"/>
    <n v="1925.0590000000011"/>
  </r>
  <r>
    <x v="20"/>
    <d v="2023-03-13T00:00:00"/>
    <n v="7767.7366000000002"/>
    <s v="0"/>
    <n v="5489.4685149999987"/>
    <n v="68.999685000000028"/>
    <n v="1891.5771000000004"/>
  </r>
  <r>
    <x v="20"/>
    <d v="2023-03-14T00:00:00"/>
    <n v="8352.0933999999997"/>
    <s v="0"/>
    <n v="5479.0701150000004"/>
    <n v="68.999685000000014"/>
    <n v="1792.8579999999993"/>
  </r>
  <r>
    <x v="20"/>
    <d v="2023-03-15T00:00:00"/>
    <n v="8380.2263000000039"/>
    <s v="0"/>
    <n v="5358.5452523999993"/>
    <n v="68.823947600000025"/>
    <n v="1726.1620000000003"/>
  </r>
  <r>
    <x v="20"/>
    <d v="2023-03-16T00:00:00"/>
    <n v="8621.8080000000009"/>
    <s v="0"/>
    <n v="5559.9936859999998"/>
    <n v="68.929513999999983"/>
    <n v="1659.3339999999989"/>
  </r>
  <r>
    <x v="20"/>
    <d v="2023-03-17T00:00:00"/>
    <n v="8655.6386000000002"/>
    <s v="0"/>
    <n v="5591.8680789999999"/>
    <n v="69.419221000000022"/>
    <n v="1769.402"/>
  </r>
  <r>
    <x v="21"/>
    <d v="2023-03-20T00:00:00"/>
    <n v="9296.5704000000023"/>
    <s v="0"/>
    <n v="5603.1192556999995"/>
    <n v="68.042144300000132"/>
    <n v="2054.3150999999998"/>
  </r>
  <r>
    <x v="21"/>
    <d v="2023-03-21T00:00:00"/>
    <n v="9319.2619999999988"/>
    <s v="0"/>
    <n v="5558.3293118000001"/>
    <n v="68.551388200000133"/>
    <n v="1986.2349999999988"/>
  </r>
  <r>
    <x v="21"/>
    <d v="2023-03-22T00:00:00"/>
    <n v="9454.9192999999996"/>
    <s v="0"/>
    <n v="5420.2384618000006"/>
    <n v="68.609838200000141"/>
    <n v="1826.5619999999981"/>
  </r>
  <r>
    <x v="21"/>
    <d v="2023-03-23T00:00:00"/>
    <n v="9312.7739999999994"/>
    <s v="0"/>
    <n v="5591.6278715999979"/>
    <n v="68.841028400000141"/>
    <n v="1775.268"/>
  </r>
  <r>
    <x v="21"/>
    <d v="2023-03-24T00:00:00"/>
    <n v="9058.0233000000026"/>
    <s v="0"/>
    <n v="5620.5377506000004"/>
    <n v="68.732749400000117"/>
    <n v="1716.2790000000005"/>
  </r>
  <r>
    <x v="22"/>
    <d v="2023-03-27T00:00:00"/>
    <n v="9250.7291000000005"/>
    <s v="0"/>
    <n v="5516.0825639999994"/>
    <n v="67.189436000000129"/>
    <n v="1948.3869999999997"/>
  </r>
  <r>
    <x v="22"/>
    <d v="2023-03-28T00:00:00"/>
    <n v="9065.9616999999998"/>
    <s v="0"/>
    <n v="5504.9693507000002"/>
    <n v="67.133749300000119"/>
    <n v="1789.71"/>
  </r>
  <r>
    <x v="22"/>
    <d v="2023-03-29T00:00:00"/>
    <n v="9167.0128000000004"/>
    <s v="0"/>
    <n v="5471.617828999998"/>
    <n v="67.273371000000139"/>
    <n v="1851.1217999999999"/>
  </r>
  <r>
    <x v="22"/>
    <d v="2023-03-30T00:00:00"/>
    <n v="9106.3204999999998"/>
    <s v="0"/>
    <n v="5485.6424589999988"/>
    <n v="66.885641000000135"/>
    <n v="1875.6857999999993"/>
  </r>
  <r>
    <x v="22"/>
    <d v="2023-03-31T00:00:00"/>
    <n v="8959.1196999999993"/>
    <s v="0"/>
    <n v="5406.4144589999987"/>
    <n v="66.715641000000133"/>
    <n v="2023.1157999999978"/>
  </r>
  <r>
    <x v="23"/>
    <d v="2023-04-03T00:00:00"/>
    <n v="9106.116399999999"/>
    <s v="0"/>
    <n v="5576.7043589999994"/>
    <n v="66.715641000000119"/>
    <n v="2235.8487999999998"/>
  </r>
  <r>
    <x v="23"/>
    <d v="2023-04-04T00:00:00"/>
    <n v="9106.116399999999"/>
    <s v="0"/>
    <n v="5576.7043589999994"/>
    <n v="66.715641000000119"/>
    <n v="2235.8487999999998"/>
  </r>
  <r>
    <x v="23"/>
    <d v="2023-04-06T00:00:00"/>
    <n v="8590.0371999999952"/>
    <s v="0"/>
    <n v="5536.3976531999997"/>
    <n v="66.621746800000111"/>
    <n v="2309.2139000000016"/>
  </r>
  <r>
    <x v="23"/>
    <d v="2023-04-07T00:00:00"/>
    <n v="8456.8565000000035"/>
    <s v="0"/>
    <n v="5468.2766486999999"/>
    <n v="67.284151300000133"/>
    <n v="2041.0758000000005"/>
  </r>
  <r>
    <x v="24"/>
    <d v="2023-04-10T00:00:00"/>
    <n v="8875.7827000000016"/>
    <s v="0"/>
    <n v="5391.4152486999983"/>
    <n v="69.471651300000104"/>
    <n v="2150.4818000000014"/>
  </r>
  <r>
    <x v="25"/>
    <d v="2023-04-17T00:00:00"/>
    <n v="8161.8239000000012"/>
    <s v="0"/>
    <n v="5373.0299487000011"/>
    <n v="63.267651300000125"/>
    <n v="2188.5778000000009"/>
  </r>
  <r>
    <x v="25"/>
    <d v="2023-04-18T00:00:00"/>
    <n v="8158.2197999999989"/>
    <s v="0"/>
    <n v="5452.0865486999992"/>
    <n v="63.267651300000125"/>
    <n v="2182.1659000000009"/>
  </r>
  <r>
    <x v="25"/>
    <d v="2023-04-19T00:00:00"/>
    <n v="8026.2799000000014"/>
    <s v="0"/>
    <n v="5417.5293622999989"/>
    <n v="63.739337700000107"/>
    <n v="2376.8799000000008"/>
  </r>
  <r>
    <x v="25"/>
    <d v="2023-04-20T00:00:00"/>
    <n v="7738.0222000000012"/>
    <s v="0"/>
    <n v="5594.9949698"/>
    <n v="63.419030200000108"/>
    <n v="2496.1068999999998"/>
  </r>
  <r>
    <x v="25"/>
    <d v="2023-04-21T00:00:00"/>
    <n v="7473.8822"/>
    <s v="0"/>
    <n v="5445.2110438"/>
    <n v="64.044756200000108"/>
    <n v="2478.9309000000012"/>
  </r>
  <r>
    <x v="26"/>
    <d v="2023-04-24T00:00:00"/>
    <n v="7362.3135999999995"/>
    <s v="0"/>
    <n v="5655.8098594999992"/>
    <n v="63.284240500000138"/>
    <n v="2815.911000000001"/>
  </r>
  <r>
    <x v="26"/>
    <d v="2023-04-25T00:00:00"/>
    <n v="7261.4085000000032"/>
    <s v="0"/>
    <n v="5643.3078863999999"/>
    <n v="58.901313600000023"/>
    <n v="2808.0310999999992"/>
  </r>
  <r>
    <x v="26"/>
    <d v="2023-04-26T00:00:00"/>
    <n v="7261.4085000000032"/>
    <s v="0"/>
    <n v="5643.3078863999999"/>
    <n v="58.901313600000023"/>
    <n v="2808.0310999999992"/>
  </r>
  <r>
    <x v="26"/>
    <d v="2023-04-27T00:00:00"/>
    <n v="7536.2191000000021"/>
    <s v="0"/>
    <n v="5783.409155899999"/>
    <n v="58.593144100000032"/>
    <n v="2921.8480999999992"/>
  </r>
  <r>
    <x v="26"/>
    <d v="2023-04-28T00:00:00"/>
    <n v="7628.4570999999996"/>
    <s v="0"/>
    <n v="5784.8400408999987"/>
    <n v="59.289259100000038"/>
    <n v="3077.6570999999994"/>
  </r>
  <r>
    <x v="27"/>
    <d v="2023-05-02T00:00:00"/>
    <n v="8100.9565000000002"/>
    <s v="0"/>
    <n v="5713.4988550000007"/>
    <n v="59.640845000000027"/>
    <n v="3408.7390999999998"/>
  </r>
  <r>
    <x v="27"/>
    <d v="2023-05-03T00:00:00"/>
    <n v="8092.875399999999"/>
    <s v="0"/>
    <n v="5619.9311550000002"/>
    <n v="59.64084500000002"/>
    <n v="3576.2851000000001"/>
  </r>
  <r>
    <x v="27"/>
    <d v="2023-05-04T00:00:00"/>
    <n v="8059.3534"/>
    <s v="0"/>
    <n v="5787.7114550000006"/>
    <n v="59.640845000000013"/>
    <n v="3755.8840999999993"/>
  </r>
  <r>
    <x v="28"/>
    <d v="2023-05-08T00:00:00"/>
    <n v="8369.8913999999986"/>
    <s v="0"/>
    <n v="5854.5599953000001"/>
    <n v="60.359504700000031"/>
    <n v="3820.3681000000006"/>
  </r>
  <r>
    <x v="28"/>
    <d v="2023-05-09T00:00:00"/>
    <n v="8280.0338999999985"/>
    <s v="0"/>
    <n v="5868.9028688999988"/>
    <n v="58.809231100000005"/>
    <n v="3804.1301000000003"/>
  </r>
  <r>
    <x v="28"/>
    <d v="2023-05-10T00:00:00"/>
    <n v="8087.4841000000033"/>
    <s v="0"/>
    <n v="6028.6492260000014"/>
    <n v="58.74037400000001"/>
    <n v="3592.6620999999986"/>
  </r>
  <r>
    <x v="28"/>
    <d v="2023-05-11T00:00:00"/>
    <n v="7816.7628999999979"/>
    <s v="0"/>
    <n v="6155.8455259999992"/>
    <n v="58.418474000000195"/>
    <n v="3510.9380999999994"/>
  </r>
  <r>
    <x v="28"/>
    <d v="2023-05-12T00:00:00"/>
    <n v="7789.2413999999972"/>
    <s v="0"/>
    <n v="6145.0227949999999"/>
    <n v="55.523705000000206"/>
    <n v="3628.0091000000002"/>
  </r>
  <r>
    <x v="29"/>
    <d v="2023-05-15T00:00:00"/>
    <n v="7665.9122000000007"/>
    <s v="0"/>
    <n v="6060.5526949999985"/>
    <n v="55.523705000000177"/>
    <n v="3880.6641000000009"/>
  </r>
  <r>
    <x v="29"/>
    <d v="2023-05-16T00:00:00"/>
    <n v="7550.2148000000016"/>
    <s v="0"/>
    <n v="5980.5095949999995"/>
    <n v="59.745705000000193"/>
    <n v="3729.4040999999988"/>
  </r>
  <r>
    <x v="29"/>
    <d v="2023-05-17T00:00:00"/>
    <n v="7098.010000000002"/>
    <s v="0"/>
    <n v="5813.7677066999986"/>
    <n v="59.862393300000207"/>
    <n v="3572.9541000000008"/>
  </r>
  <r>
    <x v="29"/>
    <d v="2023-05-18T00:00:00"/>
    <n v="6923.2504999999983"/>
    <s v="0"/>
    <n v="5894.8064001999992"/>
    <n v="59.358599800000199"/>
    <n v="3571.5511000000006"/>
  </r>
  <r>
    <x v="29"/>
    <d v="2023-05-19T00:00:00"/>
    <n v="6673.0915000000005"/>
    <s v="0"/>
    <n v="5917.2968845999985"/>
    <n v="59.633715400000149"/>
    <n v="3577.7191000000003"/>
  </r>
  <r>
    <x v="30"/>
    <d v="2023-05-22T00:00:00"/>
    <n v="7226.784599999999"/>
    <s v="0"/>
    <n v="5858.0255638999997"/>
    <n v="66.585836100000151"/>
    <n v="3655.5039999999999"/>
  </r>
  <r>
    <x v="30"/>
    <d v="2023-05-23T00:00:00"/>
    <n v="7233.6712000000025"/>
    <s v="0"/>
    <n v="5880.3419516999984"/>
    <n v="68.014848300000153"/>
    <n v="3307.1999000000005"/>
  </r>
  <r>
    <x v="30"/>
    <d v="2023-05-24T00:00:00"/>
    <n v="7069.9408000000039"/>
    <s v="0"/>
    <n v="5732.2727661999988"/>
    <n v="72.905933800000184"/>
    <n v="3137.8548999999994"/>
  </r>
  <r>
    <x v="30"/>
    <d v="2023-05-25T00:00:00"/>
    <n v="7117.8004999999976"/>
    <s v="0"/>
    <n v="5885.0926470000004"/>
    <n v="74.233653000000174"/>
    <n v="2990.0938999999989"/>
  </r>
  <r>
    <x v="30"/>
    <d v="2023-05-26T00:00:00"/>
    <n v="7097.8042000000023"/>
    <s v="0"/>
    <n v="5859.2837866"/>
    <n v="74.183813400000176"/>
    <n v="2884.0979000000007"/>
  </r>
  <r>
    <x v="31"/>
    <d v="2023-05-29T00:00:00"/>
    <n v="7559.2116999999998"/>
    <n v="170.98049999999967"/>
    <n v="5694.6686746999994"/>
    <n v="74.203325300000188"/>
    <n v="2990.6800999999996"/>
  </r>
  <r>
    <x v="31"/>
    <d v="2023-05-30T00:00:00"/>
    <n v="7444.9185000000034"/>
    <n v="62.596499999999651"/>
    <n v="5690.1755084999995"/>
    <n v="74.471991500000186"/>
    <n v="2873.8900999999996"/>
  </r>
  <r>
    <x v="31"/>
    <d v="2023-05-31T00:00:00"/>
    <n v="7224.6035000000011"/>
    <n v="35.164499999999862"/>
    <n v="5581.0121249999993"/>
    <n v="74.986975000000172"/>
    <n v="2964.3391000000001"/>
  </r>
  <r>
    <x v="31"/>
    <d v="2023-06-01T00:00:00"/>
    <n v="7350.5060000000012"/>
    <n v="249.46849999999995"/>
    <n v="5683.4678249999997"/>
    <n v="75.006975000000168"/>
    <n v="3091.5931"/>
  </r>
  <r>
    <x v="31"/>
    <d v="2023-06-02T00:00:00"/>
    <n v="7256.9987999999994"/>
    <n v="331.2505000000001"/>
    <n v="5603.4265250000008"/>
    <n v="74.986975000000172"/>
    <n v="3123.0241000000005"/>
  </r>
  <r>
    <x v="32"/>
    <d v="2023-06-05T00:00:00"/>
    <n v="7256.9987999999994"/>
    <n v="331.2505000000001"/>
    <n v="5603.4265250000008"/>
    <n v="74.986975000000172"/>
    <n v="3123.0241000000005"/>
  </r>
  <r>
    <x v="32"/>
    <d v="2023-06-06T00:00:00"/>
    <n v="7387.9599000000017"/>
    <n v="368.28650000000016"/>
    <n v="5584.5797249999996"/>
    <n v="74.986975000000172"/>
    <n v="3262.3760000000002"/>
  </r>
  <r>
    <x v="32"/>
    <d v="2023-06-07T00:00:00"/>
    <n v="6918.1821000000018"/>
    <s v="0"/>
    <n v="5482.3785331000008"/>
    <n v="71.451366900000181"/>
    <n v="3145.1871000000001"/>
  </r>
  <r>
    <x v="32"/>
    <d v="2023-06-08T00:00:00"/>
    <n v="6819.0045000000009"/>
    <s v="0"/>
    <n v="5641.171875"/>
    <n v="71.462025000000182"/>
    <n v="3063.5621000000001"/>
  </r>
  <r>
    <x v="32"/>
    <d v="2023-06-09T00:00:00"/>
    <n v="6203.0392999999967"/>
    <s v="0"/>
    <n v="5494.055374999999"/>
    <n v="70.588025000000187"/>
    <n v="2878.0901000000003"/>
  </r>
  <r>
    <x v="33"/>
    <d v="2023-06-12T00:00:00"/>
    <n v="6818.1533999999956"/>
    <n v="57.47400000000016"/>
    <n v="5415.9673750000002"/>
    <n v="70.588025000000187"/>
    <n v="3065.2291000000005"/>
  </r>
  <r>
    <x v="33"/>
    <d v="2023-06-14T00:00:00"/>
    <n v="6900.4074000000001"/>
    <s v="0"/>
    <n v="5237.1967309999991"/>
    <n v="70.714969000000181"/>
    <n v="2742.9120000000003"/>
  </r>
  <r>
    <x v="33"/>
    <d v="2023-06-15T00:00:00"/>
    <n v="7103.2161000000015"/>
    <s v="0"/>
    <n v="5394.9897309999997"/>
    <n v="70.714969000000181"/>
    <n v="2715.3109999999997"/>
  </r>
  <r>
    <x v="33"/>
    <d v="2023-06-16T00:00:00"/>
    <n v="7083.9557999999997"/>
    <s v="0"/>
    <n v="5233.178581000001"/>
    <n v="70.629819000000182"/>
    <n v="2676.866"/>
  </r>
  <r>
    <x v="34"/>
    <d v="2023-06-19T00:00:00"/>
    <n v="7834.2653000000009"/>
    <s v="0"/>
    <n v="5132.7512809999998"/>
    <n v="70.877819000000173"/>
    <n v="2772.076"/>
  </r>
  <r>
    <x v="34"/>
    <d v="2023-06-20T00:00:00"/>
    <n v="7614.8267000000014"/>
    <s v="0"/>
    <n v="5195.2046675000001"/>
    <n v="70.032632500000162"/>
    <n v="2647.2040000000006"/>
  </r>
  <r>
    <x v="34"/>
    <d v="2023-06-21T00:00:00"/>
    <n v="7370.7792000000045"/>
    <s v="0"/>
    <n v="5311.3206166000009"/>
    <n v="70.893083400000179"/>
    <n v="2605.8661000000002"/>
  </r>
  <r>
    <x v="34"/>
    <d v="2023-06-22T00:00:00"/>
    <n v="7307.8281999999999"/>
    <s v="0"/>
    <n v="5461.5125799999996"/>
    <n v="71.285320000000183"/>
    <n v="2617.5450000000001"/>
  </r>
  <r>
    <x v="34"/>
    <d v="2023-06-23T00:00:00"/>
    <n v="6888.7498999999971"/>
    <s v="0"/>
    <n v="5343.433892"/>
    <n v="70.109608000000208"/>
    <n v="2739.3739999999998"/>
  </r>
  <r>
    <x v="35"/>
    <d v="2023-06-26T00:00:00"/>
    <n v="7257.6555999999964"/>
    <n v="72.677499999999782"/>
    <n v="5365.5762792000005"/>
    <n v="70.509220800000179"/>
    <n v="3379.41"/>
  </r>
  <r>
    <x v="35"/>
    <d v="2023-06-27T00:00:00"/>
    <n v="7909.1377999999986"/>
    <n v="66.136999999999716"/>
    <n v="5329.9924948000007"/>
    <n v="69.198405200000167"/>
    <n v="3403.4450000000015"/>
  </r>
  <r>
    <x v="35"/>
    <d v="2023-06-28T00:00:00"/>
    <n v="7650.1560000000009"/>
    <n v="13.761999999999716"/>
    <n v="5383.1078170000001"/>
    <n v="68.7495830000002"/>
    <n v="3266.7720000000008"/>
  </r>
  <r>
    <x v="35"/>
    <d v="2023-06-29T00:00:00"/>
    <n v="7884.8694999999971"/>
    <s v="0"/>
    <n v="5330.0000146999992"/>
    <n v="69.752385300000185"/>
    <n v="3121.0860000000002"/>
  </r>
  <r>
    <x v="35"/>
    <d v="2023-06-30T00:00:00"/>
    <n v="7795.9993000000013"/>
    <s v="0"/>
    <n v="5271.7492140000004"/>
    <n v="60.567586000000176"/>
    <n v="3001.6639999999998"/>
  </r>
  <r>
    <x v="36"/>
    <d v="2023-07-04T00:00:00"/>
    <n v="8253.1868000000013"/>
    <s v="0"/>
    <n v="5224.2008139999989"/>
    <n v="60.553586000000152"/>
    <n v="3556.0190000000002"/>
  </r>
  <r>
    <x v="36"/>
    <d v="2023-07-05T00:00:00"/>
    <n v="8112.2430999999979"/>
    <s v="0"/>
    <n v="5250.6405880000002"/>
    <n v="60.553586000000166"/>
    <n v="3337.2430000000004"/>
  </r>
  <r>
    <x v="36"/>
    <d v="2023-07-06T00:00:00"/>
    <n v="8046.4346000000005"/>
    <s v="0"/>
    <n v="5321.4062880000001"/>
    <n v="58.781586000000161"/>
    <n v="3390.1990000000005"/>
  </r>
  <r>
    <x v="36"/>
    <d v="2023-07-07T00:00:00"/>
    <n v="7902.1403999999966"/>
    <s v="0"/>
    <n v="5375.9869311000011"/>
    <n v="58.334042900000142"/>
    <n v="3313.7139999999999"/>
  </r>
  <r>
    <x v="37"/>
    <d v="2023-07-10T00:00:00"/>
    <n v="8163.7920000000013"/>
    <s v="0"/>
    <n v="5278.0471959999995"/>
    <n v="60.089778000000152"/>
    <n v="3730.1781000000001"/>
  </r>
  <r>
    <x v="37"/>
    <d v="2023-07-11T00:00:00"/>
    <n v="10957.891599999999"/>
    <s v="0"/>
    <n v="5181.2962019999995"/>
    <n v="61.65537200000017"/>
    <n v="3636.2200999999995"/>
  </r>
  <r>
    <x v="37"/>
    <d v="2023-07-12T00:00:00"/>
    <n v="10708.5861"/>
    <s v="0"/>
    <n v="5056.4167612000019"/>
    <n v="60.989512800000163"/>
    <n v="3749.3050000000003"/>
  </r>
  <r>
    <x v="37"/>
    <d v="2023-07-13T00:00:00"/>
    <n v="10691.479100000002"/>
    <s v="0"/>
    <n v="5238.2161879999994"/>
    <n v="55.664786000000127"/>
    <n v="3667.0031000000008"/>
  </r>
  <r>
    <x v="37"/>
    <d v="2023-07-14T00:00:00"/>
    <n v="10822.867600000001"/>
    <s v="0"/>
    <n v="5179.9424559999998"/>
    <n v="54.774466000000118"/>
    <n v="3564.8610999999992"/>
  </r>
  <r>
    <x v="38"/>
    <d v="2023-07-17T00:00:00"/>
    <n v="11030.8796"/>
    <s v="0"/>
    <n v="5063.845994899998"/>
    <n v="53.419265100000146"/>
    <n v="3924.1670999999988"/>
  </r>
  <r>
    <x v="38"/>
    <d v="2023-07-21T00:00:00"/>
    <n v="11596.328100000001"/>
    <s v="0"/>
    <n v="4741.2816526999986"/>
    <n v="60.560633300000141"/>
    <n v="3786.8591000000006"/>
  </r>
  <r>
    <x v="39"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">
  <r>
    <x v="0"/>
    <s v="CBM"/>
    <n v="10300"/>
    <n v="4837.7183473000014"/>
    <n v="5462.2816526999986"/>
    <n v="721.00000000000011"/>
    <n v="4741.2816526999986"/>
  </r>
  <r>
    <x v="1"/>
    <s v="CBM"/>
    <n v="100"/>
    <n v="36.439366699999859"/>
    <n v="63.560633300000141"/>
    <n v="3"/>
    <n v="60.560633300000141"/>
  </r>
  <r>
    <x v="2"/>
    <s v="CBM"/>
    <n v="10250"/>
    <n v="6155.6408999999994"/>
    <n v="4094.3591000000006"/>
    <n v="307.5"/>
    <n v="3786.8591000000006"/>
  </r>
  <r>
    <x v="3"/>
    <s v="CBM"/>
    <n v="21000"/>
    <n v="8773.6718999999994"/>
    <n v="12226.328100000001"/>
    <n v="630"/>
    <n v="11596.328100000001"/>
  </r>
  <r>
    <x v="4"/>
    <s v="CBM"/>
    <n v="1700"/>
    <n v="0"/>
    <n v="1700"/>
    <n v="51"/>
    <n v="1649"/>
  </r>
  <r>
    <x v="5"/>
    <s v="CBM"/>
    <n v="4300"/>
    <n v="3114.8409999999999"/>
    <n v="1185.1590000000001"/>
    <n v="129"/>
    <n v="1056.1590000000001"/>
  </r>
  <r>
    <x v="6"/>
    <s v="CBM"/>
    <n v="7500"/>
    <n v="7676.0394999999999"/>
    <s v="0"/>
    <n v="225"/>
    <s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">
  <r>
    <x v="0"/>
    <n v="4837.7183473000014"/>
    <x v="0"/>
    <n v="4432.2816526999986"/>
    <m/>
    <n v="4947.2816526999986"/>
    <s v="Orugodawatta DC"/>
    <s v="CBM"/>
    <n v="10300"/>
  </r>
  <r>
    <x v="1"/>
    <n v="36.439366699999859"/>
    <x v="1"/>
    <n v="53.560633300000141"/>
    <m/>
    <n v="58.560633300000141"/>
    <s v="Orugodawatta DC Cold Room "/>
    <s v="CBM"/>
    <n v="100"/>
  </r>
  <r>
    <x v="2"/>
    <n v="6155.6408999999994"/>
    <x v="2"/>
    <n v="3376.8591000000006"/>
    <m/>
    <n v="3581.8591000000006"/>
    <s v="Peliyagoda DC"/>
    <s v="CBM"/>
    <n v="10250"/>
  </r>
  <r>
    <x v="3"/>
    <n v="8773.6718999999994"/>
    <x v="3"/>
    <n v="10756.328100000001"/>
    <m/>
    <n v="11176.328100000001"/>
    <s v="Expo Global Freeport "/>
    <s v="CBM"/>
    <n v="21000"/>
  </r>
  <r>
    <x v="4"/>
    <n v="0"/>
    <x v="4"/>
    <n v="1581"/>
    <m/>
    <n v="1615"/>
    <s v="Hirdaramani Knit Client Warehouse"/>
    <s v="CBM"/>
    <n v="1700"/>
  </r>
  <r>
    <x v="5"/>
    <n v="3114.8409999999999"/>
    <x v="5"/>
    <n v="884.15900000000011"/>
    <m/>
    <n v="970.15900000000011"/>
    <s v="Hirdaramani Woven Client Warehouse "/>
    <s v="CBM"/>
    <n v="4300"/>
  </r>
  <r>
    <x v="6"/>
    <n v="7676.0394999999999"/>
    <x v="6"/>
    <n v="0"/>
    <m/>
    <n v="0"/>
    <s v="Kandana DC"/>
    <s v="CBM"/>
    <n v="750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x v="0"/>
    <n v="4837.7183473000014"/>
    <x v="0"/>
    <n v="4432.2816526999986"/>
    <m/>
    <n v="4947.2816526999986"/>
    <s v="Orugodawatta DC"/>
    <s v="CBM"/>
    <n v="10300"/>
  </r>
  <r>
    <x v="1"/>
    <n v="36.439366699999859"/>
    <x v="1"/>
    <n v="53.560633300000141"/>
    <m/>
    <n v="58.560633300000141"/>
    <s v="Orugodawatta DC Cold Room "/>
    <s v="CBM"/>
    <n v="100"/>
  </r>
  <r>
    <x v="2"/>
    <n v="6155.6408999999994"/>
    <x v="2"/>
    <n v="3376.8591000000006"/>
    <m/>
    <n v="3581.8591000000006"/>
    <s v="Peliyagoda DC"/>
    <s v="CBM"/>
    <n v="10250"/>
  </r>
  <r>
    <x v="3"/>
    <n v="8773.6718999999994"/>
    <x v="3"/>
    <n v="10756.328100000001"/>
    <m/>
    <n v="11176.328100000001"/>
    <s v="Expo Global Freeport "/>
    <s v="CBM"/>
    <n v="21000"/>
  </r>
  <r>
    <x v="4"/>
    <n v="0"/>
    <x v="4"/>
    <n v="1581"/>
    <m/>
    <n v="1615"/>
    <s v="Hirdaramani Knit Client Warehouse"/>
    <s v="CBM"/>
    <n v="1700"/>
  </r>
  <r>
    <x v="5"/>
    <n v="3114.8409999999999"/>
    <x v="5"/>
    <n v="884.15900000000011"/>
    <m/>
    <n v="970.15900000000011"/>
    <s v="Hirdaramani Woven Client Warehouse "/>
    <s v="CBM"/>
    <n v="4300"/>
  </r>
  <r>
    <x v="6"/>
    <n v="7676.0394999999999"/>
    <x v="6"/>
    <n v="0"/>
    <m/>
    <n v="0"/>
    <s v="Kandana DC"/>
    <s v="CBM"/>
    <n v="7500"/>
  </r>
  <r>
    <x v="7"/>
    <n v="9169"/>
    <x v="7"/>
    <m/>
    <m/>
    <n v="455.44999999999891"/>
    <s v="Nestle - Main DC"/>
    <s v="No of pallets"/>
    <n v="1013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n v="4837.7183473000014"/>
    <n v="0.46968139294174771"/>
    <n v="4432.2816526999986"/>
    <m/>
    <n v="4947.2816526999986"/>
    <x v="0"/>
    <x v="0"/>
    <n v="10300"/>
  </r>
  <r>
    <n v="36.439366699999859"/>
    <n v="0.36439366699999859"/>
    <n v="53.560633300000141"/>
    <m/>
    <n v="58.560633300000141"/>
    <x v="1"/>
    <x v="0"/>
    <n v="100"/>
  </r>
  <r>
    <n v="6155.6408999999994"/>
    <n v="0.60055033170731698"/>
    <n v="3376.8591000000006"/>
    <m/>
    <n v="3581.8591000000006"/>
    <x v="2"/>
    <x v="0"/>
    <n v="10250"/>
  </r>
  <r>
    <n v="8773.6718999999994"/>
    <n v="0.4177939"/>
    <n v="10756.328100000001"/>
    <m/>
    <n v="11176.328100000001"/>
    <x v="3"/>
    <x v="0"/>
    <n v="21000"/>
  </r>
  <r>
    <n v="0"/>
    <n v="0"/>
    <n v="1581"/>
    <m/>
    <n v="1615"/>
    <x v="4"/>
    <x v="0"/>
    <n v="1700"/>
  </r>
  <r>
    <n v="3114.8409999999999"/>
    <n v="0.72438162790697669"/>
    <n v="884.15900000000011"/>
    <m/>
    <n v="970.15900000000011"/>
    <x v="5"/>
    <x v="0"/>
    <n v="430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x v="0"/>
    <n v="4837.7183473000014"/>
    <x v="0"/>
    <n v="4432.2816526999986"/>
    <m/>
    <n v="4947.2816526999986"/>
    <s v="Orugodawatta DC"/>
    <s v="CBM"/>
    <n v="10300"/>
    <n v="60000"/>
  </r>
  <r>
    <x v="1"/>
    <n v="36.439366699999859"/>
    <x v="1"/>
    <n v="53.560633300000141"/>
    <m/>
    <n v="58.560633300000141"/>
    <s v="Orugodawatta DC Cold Room "/>
    <s v="CBM"/>
    <n v="100"/>
    <n v="0"/>
  </r>
  <r>
    <x v="2"/>
    <n v="6155.6408999999994"/>
    <x v="2"/>
    <n v="3376.8591000000006"/>
    <m/>
    <n v="3581.8591000000006"/>
    <s v="Peliyagoda DC"/>
    <s v="CBM"/>
    <n v="10250"/>
    <n v="100000"/>
  </r>
  <r>
    <x v="3"/>
    <n v="8773.6718999999994"/>
    <x v="3"/>
    <n v="10756.328100000001"/>
    <m/>
    <n v="11176.328100000001"/>
    <s v="Expo Global Freeport "/>
    <s v="CBM"/>
    <n v="21000"/>
    <n v="240000"/>
  </r>
  <r>
    <x v="4"/>
    <n v="0"/>
    <x v="4"/>
    <n v="1581"/>
    <m/>
    <n v="1615"/>
    <s v="Hirdaramani Knit Client Warehouse"/>
    <s v="CBM"/>
    <n v="1700"/>
    <n v="0"/>
  </r>
  <r>
    <x v="5"/>
    <n v="3114.8409999999999"/>
    <x v="5"/>
    <n v="884.15900000000011"/>
    <m/>
    <n v="970.15900000000011"/>
    <s v="Hirdaramani Woven Client Warehouse "/>
    <s v="CBM"/>
    <n v="4300"/>
    <n v="0"/>
  </r>
  <r>
    <x v="6"/>
    <n v="7676.0394999999999"/>
    <x v="6"/>
    <n v="0"/>
    <m/>
    <n v="0"/>
    <s v="Kandana DC"/>
    <s v="CBM"/>
    <n v="7500"/>
    <n v="85000"/>
  </r>
  <r>
    <x v="7"/>
    <n v="9169"/>
    <x v="7"/>
    <m/>
    <m/>
    <n v="455.44999999999891"/>
    <s v="Nestle - Main DC"/>
    <s v="No of pallets"/>
    <n v="10131"/>
    <n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x v="0"/>
    <n v="7445"/>
    <n v="7704"/>
    <n v="12652"/>
    <n v="1395"/>
  </r>
  <r>
    <x v="1"/>
    <n v="7515"/>
    <n v="7704"/>
    <n v="12799"/>
    <n v="1395"/>
  </r>
  <r>
    <x v="2"/>
    <n v="7756"/>
    <n v="7956"/>
    <n v="13085"/>
    <n v="1378"/>
  </r>
  <r>
    <x v="3"/>
    <n v="7299"/>
    <n v="7666"/>
    <n v="14114"/>
    <n v="1467"/>
  </r>
  <r>
    <x v="4"/>
    <n v="7327"/>
    <n v="7646"/>
    <n v="14359"/>
    <n v="1376"/>
  </r>
  <r>
    <x v="5"/>
    <n v="7345"/>
    <n v="7584"/>
    <n v="14506"/>
    <n v="1393"/>
  </r>
  <r>
    <x v="6"/>
    <n v="7415"/>
    <n v="7624"/>
    <n v="14436"/>
    <n v="1360"/>
  </r>
  <r>
    <x v="7"/>
    <n v="6915"/>
    <n v="7639"/>
    <n v="14550"/>
    <n v="1413"/>
  </r>
  <r>
    <x v="8"/>
    <n v="7132"/>
    <n v="7888"/>
    <n v="14372"/>
    <n v="1322"/>
  </r>
  <r>
    <x v="9"/>
    <n v="7246"/>
    <n v="7993"/>
    <n v="14259"/>
    <n v="1322"/>
  </r>
  <r>
    <x v="10"/>
    <n v="7205"/>
    <n v="7764"/>
    <n v="13268"/>
    <n v="1322"/>
  </r>
  <r>
    <x v="11"/>
    <n v="7180"/>
    <n v="7789"/>
    <n v="13083"/>
    <n v="1286"/>
  </r>
  <r>
    <x v="12"/>
    <n v="7226"/>
    <n v="7983"/>
    <n v="13316"/>
    <n v="1514"/>
  </r>
  <r>
    <x v="13"/>
    <m/>
    <m/>
    <m/>
    <m/>
  </r>
  <r>
    <x v="14"/>
    <n v="7171"/>
    <n v="7337"/>
    <n v="13276"/>
    <n v="151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3">
  <r>
    <x v="0"/>
    <n v="9146"/>
  </r>
  <r>
    <x v="1"/>
    <n v="9170"/>
  </r>
  <r>
    <x v="2"/>
    <n v="9138"/>
  </r>
  <r>
    <x v="3"/>
    <n v="9049"/>
  </r>
  <r>
    <x v="4"/>
    <n v="9049"/>
  </r>
  <r>
    <x v="5"/>
    <n v="9026"/>
  </r>
  <r>
    <x v="6"/>
    <n v="9076"/>
  </r>
  <r>
    <x v="7"/>
    <n v="9066"/>
  </r>
  <r>
    <x v="8"/>
    <n v="8909"/>
  </r>
  <r>
    <x v="9"/>
    <n v="8974"/>
  </r>
  <r>
    <x v="10"/>
    <n v="9119"/>
  </r>
  <r>
    <x v="11"/>
    <n v="9291"/>
  </r>
  <r>
    <x v="12"/>
    <n v="9228"/>
  </r>
  <r>
    <x v="13"/>
    <n v="9031"/>
  </r>
  <r>
    <x v="14"/>
    <n v="9341"/>
  </r>
  <r>
    <x v="15"/>
    <n v="9241"/>
  </r>
  <r>
    <x v="16"/>
    <n v="9722"/>
  </r>
  <r>
    <x v="17"/>
    <n v="9744"/>
  </r>
  <r>
    <x v="18"/>
    <n v="9831"/>
  </r>
  <r>
    <x v="19"/>
    <m/>
  </r>
  <r>
    <x v="20"/>
    <m/>
  </r>
  <r>
    <x v="21"/>
    <n v="9974"/>
  </r>
  <r>
    <x v="22"/>
    <n v="9918"/>
  </r>
  <r>
    <x v="23"/>
    <n v="9804"/>
  </r>
  <r>
    <x v="24"/>
    <n v="10097"/>
  </r>
  <r>
    <x v="25"/>
    <n v="9946"/>
  </r>
  <r>
    <x v="26"/>
    <m/>
  </r>
  <r>
    <x v="8"/>
    <m/>
  </r>
  <r>
    <x v="27"/>
    <n v="10130"/>
  </r>
  <r>
    <x v="28"/>
    <n v="10577"/>
  </r>
  <r>
    <x v="29"/>
    <n v="10627"/>
  </r>
  <r>
    <x v="30"/>
    <n v="10716"/>
  </r>
  <r>
    <x v="31"/>
    <n v="11300"/>
  </r>
  <r>
    <x v="32"/>
    <n v="11181"/>
  </r>
  <r>
    <x v="33"/>
    <n v="11689"/>
  </r>
  <r>
    <x v="34"/>
    <n v="11470"/>
  </r>
  <r>
    <x v="35"/>
    <n v="11444"/>
  </r>
  <r>
    <x v="36"/>
    <n v="11391"/>
  </r>
  <r>
    <x v="37"/>
    <n v="11143"/>
  </r>
  <r>
    <x v="38"/>
    <n v="11254"/>
  </r>
  <r>
    <x v="39"/>
    <n v="11167"/>
  </r>
  <r>
    <x v="40"/>
    <n v="11478"/>
  </r>
  <r>
    <x v="41"/>
    <n v="11682"/>
  </r>
  <r>
    <x v="42"/>
    <n v="11875"/>
  </r>
  <r>
    <x v="43"/>
    <n v="11603"/>
  </r>
  <r>
    <x v="44"/>
    <n v="11572"/>
  </r>
  <r>
    <x v="45"/>
    <n v="11056"/>
  </r>
  <r>
    <x v="46"/>
    <n v="11107"/>
  </r>
  <r>
    <x v="47"/>
    <n v="11295"/>
  </r>
  <r>
    <x v="48"/>
    <n v="11306"/>
  </r>
  <r>
    <x v="49"/>
    <n v="11579"/>
  </r>
  <r>
    <x v="50"/>
    <n v="11689"/>
  </r>
  <r>
    <x v="51"/>
    <n v="11397"/>
  </r>
  <r>
    <x v="52"/>
    <n v="11396"/>
  </r>
  <r>
    <x v="53"/>
    <n v="11268"/>
  </r>
  <r>
    <x v="54"/>
    <n v="11065"/>
  </r>
  <r>
    <x v="55"/>
    <n v="11328"/>
  </r>
  <r>
    <x v="56"/>
    <n v="11302"/>
  </r>
  <r>
    <x v="57"/>
    <n v="11557"/>
  </r>
  <r>
    <x v="58"/>
    <n v="11595"/>
  </r>
  <r>
    <x v="59"/>
    <n v="11917"/>
  </r>
  <r>
    <x v="60"/>
    <n v="11665"/>
  </r>
  <r>
    <x v="61"/>
    <n v="11654"/>
  </r>
  <r>
    <x v="62"/>
    <n v="11360"/>
  </r>
  <r>
    <x v="63"/>
    <n v="11221"/>
  </r>
  <r>
    <x v="64"/>
    <n v="11221"/>
  </r>
  <r>
    <x v="65"/>
    <n v="11271"/>
  </r>
  <r>
    <x v="66"/>
    <n v="10090"/>
  </r>
  <r>
    <x v="67"/>
    <n v="9985"/>
  </r>
  <r>
    <x v="68"/>
    <n v="9835"/>
  </r>
  <r>
    <x v="69"/>
    <n v="9835"/>
  </r>
  <r>
    <x v="70"/>
    <n v="9852"/>
  </r>
  <r>
    <x v="71"/>
    <n v="9793"/>
  </r>
  <r>
    <x v="72"/>
    <n v="9920"/>
  </r>
  <r>
    <x v="73"/>
    <n v="9321"/>
  </r>
  <r>
    <x v="74"/>
    <n v="9331"/>
  </r>
  <r>
    <x v="75"/>
    <n v="9231"/>
  </r>
  <r>
    <x v="76"/>
    <n v="8966"/>
  </r>
  <r>
    <x v="77"/>
    <n v="8995"/>
  </r>
  <r>
    <x v="78"/>
    <n v="8849"/>
  </r>
  <r>
    <x v="79"/>
    <n v="8866"/>
  </r>
  <r>
    <x v="80"/>
    <n v="8810"/>
  </r>
  <r>
    <x v="81"/>
    <n v="8899"/>
  </r>
  <r>
    <x v="82"/>
    <n v="8899"/>
  </r>
  <r>
    <x v="83"/>
    <n v="8736"/>
  </r>
  <r>
    <x v="84"/>
    <n v="8955"/>
  </r>
  <r>
    <x v="85"/>
    <n v="7495"/>
  </r>
  <r>
    <x v="86"/>
    <n v="7700"/>
  </r>
  <r>
    <x v="87"/>
    <n v="8088"/>
  </r>
  <r>
    <x v="88"/>
    <n v="8163"/>
  </r>
  <r>
    <x v="89"/>
    <n v="8965"/>
  </r>
  <r>
    <x v="90"/>
    <n v="8920"/>
  </r>
  <r>
    <x v="91"/>
    <n v="8835"/>
  </r>
  <r>
    <x v="92"/>
    <n v="8471"/>
  </r>
  <r>
    <x v="93"/>
    <n v="8514"/>
  </r>
  <r>
    <x v="94"/>
    <n v="8560"/>
  </r>
  <r>
    <x v="95"/>
    <n v="8824"/>
  </r>
  <r>
    <x v="96"/>
    <n v="8818"/>
  </r>
  <r>
    <x v="97"/>
    <n v="8855"/>
  </r>
  <r>
    <x v="98"/>
    <n v="8765"/>
  </r>
  <r>
    <x v="99"/>
    <n v="8922"/>
  </r>
  <r>
    <x v="100"/>
    <n v="9023"/>
  </r>
  <r>
    <x v="101"/>
    <n v="9055"/>
  </r>
  <r>
    <x v="102"/>
    <n v="8998"/>
  </r>
  <r>
    <x v="103"/>
    <n v="9138"/>
  </r>
  <r>
    <x v="104"/>
    <n v="9211"/>
  </r>
  <r>
    <x v="105"/>
    <n v="9086"/>
  </r>
  <r>
    <x v="106"/>
    <n v="9132"/>
  </r>
  <r>
    <x v="107"/>
    <n v="9014"/>
  </r>
  <r>
    <x v="108"/>
    <n v="9246"/>
  </r>
  <r>
    <x v="109"/>
    <n v="9904"/>
  </r>
  <r>
    <x v="110"/>
    <n v="9900"/>
  </r>
  <r>
    <x v="111"/>
    <n v="9989"/>
  </r>
  <r>
    <x v="112"/>
    <n v="10008"/>
  </r>
  <r>
    <x v="113"/>
    <n v="10280"/>
  </r>
  <r>
    <x v="114"/>
    <n v="10280"/>
  </r>
  <r>
    <x v="115"/>
    <n v="10889"/>
  </r>
  <r>
    <x v="116"/>
    <n v="10885"/>
  </r>
  <r>
    <x v="117"/>
    <n v="11067"/>
  </r>
  <r>
    <x v="118"/>
    <n v="11728"/>
  </r>
  <r>
    <x v="119"/>
    <n v="11683"/>
  </r>
  <r>
    <x v="120"/>
    <n v="12019"/>
  </r>
  <r>
    <x v="121"/>
    <n v="11774"/>
  </r>
  <r>
    <x v="122"/>
    <n v="11847"/>
  </r>
  <r>
    <x v="123"/>
    <n v="11748"/>
  </r>
  <r>
    <x v="124"/>
    <n v="12375"/>
  </r>
  <r>
    <x v="125"/>
    <n v="12881"/>
  </r>
  <r>
    <x v="126"/>
    <n v="13022"/>
  </r>
  <r>
    <x v="127"/>
    <n v="12530"/>
  </r>
  <r>
    <x v="128"/>
    <n v="12451"/>
  </r>
  <r>
    <x v="129"/>
    <n v="13412"/>
  </r>
  <r>
    <x v="130"/>
    <n v="13397"/>
  </r>
  <r>
    <x v="131"/>
    <n v="14249"/>
  </r>
  <r>
    <x v="132"/>
    <n v="14119"/>
  </r>
  <r>
    <x v="133"/>
    <n v="13370"/>
  </r>
  <r>
    <x v="134"/>
    <n v="13496"/>
  </r>
  <r>
    <x v="135"/>
    <n v="13288"/>
  </r>
  <r>
    <x v="136"/>
    <n v="13115"/>
  </r>
  <r>
    <x v="137"/>
    <n v="13104"/>
  </r>
  <r>
    <x v="138"/>
    <n v="13104"/>
  </r>
  <r>
    <x v="139"/>
    <n v="12894"/>
  </r>
  <r>
    <x v="140"/>
    <n v="12894"/>
  </r>
  <r>
    <x v="141"/>
    <n v="12660"/>
  </r>
  <r>
    <x v="142"/>
    <n v="12153"/>
  </r>
  <r>
    <x v="143"/>
    <n v="11890"/>
  </r>
  <r>
    <x v="144"/>
    <n v="11936"/>
  </r>
  <r>
    <x v="145"/>
    <n v="12178"/>
  </r>
  <r>
    <x v="146"/>
    <n v="12395"/>
  </r>
  <r>
    <x v="147"/>
    <n v="12347"/>
  </r>
  <r>
    <x v="148"/>
    <n v="12763"/>
  </r>
  <r>
    <x v="149"/>
    <n v="12763"/>
  </r>
  <r>
    <x v="150"/>
    <n v="12965"/>
  </r>
  <r>
    <x v="151"/>
    <n v="11793"/>
  </r>
  <r>
    <x v="152"/>
    <n v="11870"/>
  </r>
  <r>
    <x v="153"/>
    <n v="12065"/>
  </r>
  <r>
    <x v="154"/>
    <n v="12065"/>
  </r>
  <r>
    <x v="155"/>
    <n v="12317"/>
  </r>
  <r>
    <x v="156"/>
    <n v="12143"/>
  </r>
  <r>
    <x v="157"/>
    <n v="12055"/>
  </r>
  <r>
    <x v="158"/>
    <n v="12039"/>
  </r>
  <r>
    <x v="159"/>
    <n v="12039"/>
  </r>
  <r>
    <x v="160"/>
    <n v="12215"/>
  </r>
  <r>
    <x v="161"/>
    <n v="12158"/>
  </r>
  <r>
    <x v="162"/>
    <n v="12054"/>
  </r>
  <r>
    <x v="163"/>
    <n v="11960"/>
  </r>
  <r>
    <x v="164"/>
    <n v="12119"/>
  </r>
  <r>
    <x v="165"/>
    <n v="12286"/>
  </r>
  <r>
    <x v="166"/>
    <n v="12008"/>
  </r>
  <r>
    <x v="167"/>
    <n v="12085"/>
  </r>
  <r>
    <x v="168"/>
    <n v="12202"/>
  </r>
  <r>
    <x v="169"/>
    <n v="12568"/>
  </r>
  <r>
    <x v="170"/>
    <n v="12675"/>
  </r>
  <r>
    <x v="171"/>
    <n v="12675"/>
  </r>
  <r>
    <x v="172"/>
    <n v="12677"/>
  </r>
  <r>
    <x v="173"/>
    <n v="12690"/>
  </r>
  <r>
    <x v="174"/>
    <n v="13037"/>
  </r>
  <r>
    <x v="175"/>
    <n v="12801"/>
  </r>
  <r>
    <x v="176"/>
    <m/>
  </r>
  <r>
    <x v="177"/>
    <n v="12652"/>
  </r>
  <r>
    <x v="178"/>
    <n v="12799"/>
  </r>
  <r>
    <x v="179"/>
    <n v="13085"/>
  </r>
  <r>
    <x v="180"/>
    <n v="14114"/>
  </r>
  <r>
    <x v="181"/>
    <n v="14359"/>
  </r>
  <r>
    <x v="182"/>
    <n v="14506"/>
  </r>
  <r>
    <x v="183"/>
    <n v="14436"/>
  </r>
  <r>
    <x v="184"/>
    <n v="14550"/>
  </r>
  <r>
    <x v="185"/>
    <n v="14372"/>
  </r>
  <r>
    <x v="186"/>
    <n v="14259"/>
  </r>
  <r>
    <x v="187"/>
    <n v="13268"/>
  </r>
  <r>
    <x v="188"/>
    <n v="13083"/>
  </r>
  <r>
    <x v="189"/>
    <n v="13316"/>
  </r>
  <r>
    <x v="190"/>
    <n v="13276"/>
  </r>
  <r>
    <x v="191"/>
    <n v="13509"/>
  </r>
  <r>
    <x v="192"/>
    <n v="13331"/>
  </r>
  <r>
    <x v="193"/>
    <n v="13473"/>
  </r>
  <r>
    <x v="194"/>
    <n v="13303"/>
  </r>
  <r>
    <x v="195"/>
    <n v="13255"/>
  </r>
  <r>
    <x v="196"/>
    <n v="13156"/>
  </r>
  <r>
    <x v="197"/>
    <n v="12432"/>
  </r>
  <r>
    <x v="198"/>
    <n v="12314"/>
  </r>
  <r>
    <x v="199"/>
    <n v="12656"/>
  </r>
  <r>
    <x v="200"/>
    <n v="13183"/>
  </r>
  <r>
    <x v="201"/>
    <n v="12920"/>
  </r>
  <r>
    <x v="202"/>
    <n v="12424"/>
  </r>
  <r>
    <x v="203"/>
    <n v="12578"/>
  </r>
  <r>
    <x v="204"/>
    <n v="12289"/>
  </r>
  <r>
    <x v="205"/>
    <n v="12203"/>
  </r>
  <r>
    <x v="206"/>
    <n v="12370"/>
  </r>
  <r>
    <x v="207"/>
    <n v="12438"/>
  </r>
  <r>
    <x v="208"/>
    <n v="12632"/>
  </r>
  <r>
    <x v="209"/>
    <n v="12872"/>
  </r>
  <r>
    <x v="210"/>
    <n v="13096"/>
  </r>
  <r>
    <x v="211"/>
    <n v="13213"/>
  </r>
  <r>
    <x v="212"/>
    <n v="12755"/>
  </r>
  <r>
    <x v="213"/>
    <n v="12927"/>
  </r>
  <r>
    <x v="214"/>
    <n v="13255"/>
  </r>
  <r>
    <x v="215"/>
    <n v="13184"/>
  </r>
  <r>
    <x v="216"/>
    <n v="13135"/>
  </r>
  <r>
    <x v="217"/>
    <n v="13055"/>
  </r>
  <r>
    <x v="218"/>
    <n v="14126"/>
  </r>
  <r>
    <x v="219"/>
    <n v="14347"/>
  </r>
  <r>
    <x v="220"/>
    <n v="14984"/>
  </r>
  <r>
    <x v="221"/>
    <n v="1554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x v="0"/>
    <s v="CBM"/>
    <n v="10300"/>
    <n v="4837.7183473000014"/>
    <n v="5462.2816526999986"/>
    <n v="721.00000000000011"/>
    <n v="4741.2816526999986"/>
  </r>
  <r>
    <x v="1"/>
    <s v="CBM"/>
    <n v="100"/>
    <n v="36.439366699999859"/>
    <n v="63.560633300000141"/>
    <n v="3"/>
    <n v="60.560633300000141"/>
  </r>
  <r>
    <x v="2"/>
    <s v="CBM"/>
    <n v="10250"/>
    <n v="6155.6408999999994"/>
    <n v="4094.3591000000006"/>
    <n v="307.5"/>
    <n v="3786.8591000000006"/>
  </r>
  <r>
    <x v="3"/>
    <s v="CBM"/>
    <n v="21000"/>
    <n v="8773.6718999999994"/>
    <n v="12226.328100000001"/>
    <n v="630"/>
    <n v="11596.328100000001"/>
  </r>
  <r>
    <x v="4"/>
    <s v="CBM"/>
    <n v="1700"/>
    <n v="0"/>
    <n v="1700"/>
    <n v="51"/>
    <n v="1649"/>
  </r>
  <r>
    <x v="5"/>
    <s v="CBM"/>
    <n v="4300"/>
    <n v="3114.8409999999999"/>
    <n v="1185.1590000000001"/>
    <n v="129"/>
    <n v="1056.1590000000001"/>
  </r>
  <r>
    <x v="6"/>
    <s v="CBM"/>
    <n v="7500"/>
    <n v="7676.0394999999999"/>
    <s v="0"/>
    <n v="225"/>
    <s v="0"/>
  </r>
  <r>
    <x v="7"/>
    <m/>
    <n v="55150"/>
    <n v="30594.351014"/>
    <n v="24731.688485999999"/>
    <n v="2066.5"/>
    <n v="22890.188485999999"/>
  </r>
  <r>
    <x v="8"/>
    <m/>
    <m/>
    <m/>
    <m/>
    <m/>
    <m/>
  </r>
  <r>
    <x v="9"/>
    <m/>
    <m/>
    <m/>
    <m/>
    <m/>
    <m/>
  </r>
  <r>
    <x v="10"/>
    <s v="Measurement"/>
    <s v="Cargo volume Capacity "/>
    <s v="On hand inventory"/>
    <s v="Unoccupied Space"/>
    <m/>
    <m/>
  </r>
  <r>
    <x v="11"/>
    <s v="Pallets"/>
    <n v="10131"/>
    <n v="8238"/>
    <n v="0"/>
    <m/>
    <m/>
  </r>
  <r>
    <x v="12"/>
    <m/>
    <m/>
    <n v="931"/>
    <n v="0"/>
    <n v="1053"/>
    <m/>
  </r>
  <r>
    <x v="13"/>
    <s v="Pallets"/>
    <n v="10131"/>
    <n v="9169"/>
    <n v="962"/>
    <n v="962"/>
    <m/>
  </r>
  <r>
    <x v="14"/>
    <s v="No of pallets"/>
    <n v="1500"/>
    <n v="861"/>
    <n v="639"/>
    <n v="639"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m/>
    <m/>
    <m/>
    <m/>
    <m/>
    <m/>
  </r>
  <r>
    <x v="1"/>
    <s v="CBM"/>
    <n v="21000"/>
    <n v="8773.6718999999994"/>
    <n v="12226.328100000001"/>
    <n v="630"/>
    <n v="11596.328100000001"/>
  </r>
  <r>
    <x v="2"/>
    <s v="CBM"/>
    <n v="7500"/>
    <n v="7676.0394999999999"/>
    <s v="0"/>
    <n v="225"/>
    <s v="0"/>
  </r>
  <r>
    <x v="3"/>
    <s v="CBM"/>
    <n v="10300"/>
    <n v="4837.7183473000014"/>
    <n v="5462.2816526999986"/>
    <n v="721.00000000000011"/>
    <n v="4741.2816526999986"/>
  </r>
  <r>
    <x v="4"/>
    <s v="CBM"/>
    <n v="100"/>
    <n v="36.439366699999859"/>
    <n v="63.560633300000141"/>
    <n v="3"/>
    <n v="60.560633300000141"/>
  </r>
  <r>
    <x v="5"/>
    <s v="CBM"/>
    <n v="10250"/>
    <n v="6155.6408999999994"/>
    <n v="4094.3591000000006"/>
    <n v="307.5"/>
    <n v="3786.8591000000006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n v="4837.7183473000014"/>
    <x v="0"/>
    <n v="4432.2816526999986"/>
    <m/>
    <n v="4947.2816526999986"/>
    <s v="Orugodawatta DC"/>
    <s v="CBM"/>
    <n v="10300"/>
    <n v="60000"/>
  </r>
  <r>
    <x v="1"/>
    <n v="36.439366699999859"/>
    <x v="1"/>
    <n v="53.560633300000141"/>
    <m/>
    <n v="58.560633300000141"/>
    <s v="Orugodawatta DC Cold Room "/>
    <s v="CBM"/>
    <n v="100"/>
    <n v="0"/>
  </r>
  <r>
    <x v="2"/>
    <n v="6155.6408999999994"/>
    <x v="2"/>
    <n v="3376.8591000000006"/>
    <m/>
    <n v="3581.8591000000006"/>
    <s v="Peliyagoda DC"/>
    <s v="CBM"/>
    <n v="10250"/>
    <n v="100000"/>
  </r>
  <r>
    <x v="3"/>
    <n v="8773.6718999999994"/>
    <x v="3"/>
    <n v="10756.328100000001"/>
    <m/>
    <n v="11176.328100000001"/>
    <s v="Expo Global Freeport "/>
    <s v="CBM"/>
    <n v="21000"/>
    <n v="240000"/>
  </r>
  <r>
    <x v="4"/>
    <n v="0"/>
    <x v="4"/>
    <n v="1581"/>
    <m/>
    <n v="1615"/>
    <s v="Hirdaramani Knit Client Warehouse"/>
    <s v="CBM"/>
    <n v="1700"/>
    <n v="0"/>
  </r>
  <r>
    <x v="5"/>
    <n v="3114.8409999999999"/>
    <x v="5"/>
    <n v="884.15900000000011"/>
    <m/>
    <n v="970.15900000000011"/>
    <s v="Hirdaramani Woven Client Warehouse "/>
    <s v="CBM"/>
    <n v="4300"/>
    <n v="0"/>
  </r>
  <r>
    <x v="6"/>
    <n v="7676.0394999999999"/>
    <x v="6"/>
    <n v="0"/>
    <m/>
    <n v="0"/>
    <s v="Kandana DC"/>
    <s v="CBM"/>
    <n v="7500"/>
    <n v="85000"/>
  </r>
  <r>
    <x v="7"/>
    <n v="9169"/>
    <x v="7"/>
    <m/>
    <m/>
    <n v="455.44999999999891"/>
    <s v="Nestle - Main DC"/>
    <s v="No of pallets"/>
    <n v="10131"/>
    <n v="0"/>
  </r>
  <r>
    <x v="8"/>
    <n v="861"/>
    <x v="8"/>
    <m/>
    <m/>
    <n v="564"/>
    <s v="BIPL"/>
    <s v="No of pallets"/>
    <n v="1500"/>
    <n v="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">
  <r>
    <x v="0"/>
    <n v="5558.7183473000014"/>
    <x v="0"/>
    <n v="0"/>
    <m/>
    <n v="0"/>
    <s v="Orugodawatta DC"/>
    <s v="CBM"/>
    <n v="10300"/>
  </r>
  <r>
    <x v="1"/>
    <n v="39.439366699999859"/>
    <x v="1"/>
    <m/>
    <m/>
    <m/>
    <s v="Cold Room Orugodawatta DC"/>
    <s v="CBM"/>
    <n v="100"/>
  </r>
  <r>
    <x v="2"/>
    <n v="6463.1408999999994"/>
    <x v="2"/>
    <n v="0"/>
    <m/>
    <n v="0"/>
    <s v="Peliyagoda DC"/>
    <s v="CBM"/>
    <n v="10250"/>
  </r>
  <r>
    <x v="3"/>
    <n v="9403.6718999999994"/>
    <x v="3"/>
    <n v="0"/>
    <m/>
    <n v="0"/>
    <s v="Expo Global Freeport "/>
    <s v="CBM"/>
    <n v="21000"/>
  </r>
  <r>
    <x v="4"/>
    <n v="51"/>
    <x v="4"/>
    <m/>
    <m/>
    <m/>
    <s v="Expo Global Freeport -  Mercury Plant"/>
    <s v="CBM"/>
    <n v="1700"/>
  </r>
  <r>
    <x v="5"/>
    <n v="3243.8409999999999"/>
    <x v="5"/>
    <m/>
    <m/>
    <m/>
    <s v="Expo Global Freeport -  Hidramani Woven"/>
    <s v="CBM"/>
    <n v="4300"/>
  </r>
  <r>
    <x v="6"/>
    <n v="7500"/>
    <x v="6"/>
    <n v="0"/>
    <m/>
    <n v="0"/>
    <s v="Kandana DC"/>
    <s v="CBM"/>
    <n v="7500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2">
  <r>
    <x v="0"/>
    <x v="0"/>
    <n v="7357"/>
    <n v="9553"/>
    <n v="12153"/>
    <m/>
    <n v="1440"/>
  </r>
  <r>
    <x v="0"/>
    <x v="1"/>
    <n v="7127"/>
    <n v="9776"/>
    <n v="11890"/>
    <m/>
    <n v="1440"/>
  </r>
  <r>
    <x v="0"/>
    <x v="2"/>
    <n v="7547"/>
    <n v="10081"/>
    <n v="11936"/>
    <m/>
    <n v="1333"/>
  </r>
  <r>
    <x v="0"/>
    <x v="3"/>
    <n v="7941"/>
    <n v="10062"/>
    <n v="12178"/>
    <m/>
    <n v="1325"/>
  </r>
  <r>
    <x v="0"/>
    <x v="4"/>
    <n v="8486"/>
    <n v="8194"/>
    <n v="12395"/>
    <m/>
    <n v="1325"/>
  </r>
  <r>
    <x v="0"/>
    <x v="5"/>
    <n v="8467"/>
    <n v="8211"/>
    <n v="12347"/>
    <m/>
    <n v="1305"/>
  </r>
  <r>
    <x v="0"/>
    <x v="6"/>
    <n v="8950"/>
    <n v="8247"/>
    <n v="12763"/>
    <m/>
    <n v="1437"/>
  </r>
  <r>
    <x v="0"/>
    <x v="7"/>
    <n v="8950"/>
    <n v="8313"/>
    <n v="12763"/>
    <m/>
    <n v="1371"/>
  </r>
  <r>
    <x v="0"/>
    <x v="8"/>
    <n v="8277"/>
    <n v="8581"/>
    <n v="12965"/>
    <m/>
    <n v="1458"/>
  </r>
  <r>
    <x v="1"/>
    <x v="9"/>
    <n v="7467"/>
    <n v="9093"/>
    <n v="11793"/>
    <m/>
    <n v="1625"/>
  </r>
  <r>
    <x v="1"/>
    <x v="10"/>
    <n v="7565"/>
    <n v="9201"/>
    <n v="11870"/>
    <m/>
    <n v="1631"/>
  </r>
  <r>
    <x v="1"/>
    <x v="11"/>
    <n v="8031"/>
    <n v="9494"/>
    <n v="12065"/>
    <m/>
    <n v="1599"/>
  </r>
  <r>
    <x v="1"/>
    <x v="12"/>
    <n v="8031"/>
    <n v="9507"/>
    <n v="12065"/>
    <m/>
    <n v="1586"/>
  </r>
  <r>
    <x v="1"/>
    <x v="13"/>
    <n v="8753"/>
    <n v="9597"/>
    <n v="12317"/>
    <m/>
    <n v="1586"/>
  </r>
  <r>
    <x v="1"/>
    <x v="14"/>
    <n v="8434"/>
    <n v="9112"/>
    <n v="12143"/>
    <m/>
    <n v="1514"/>
  </r>
  <r>
    <x v="2"/>
    <x v="15"/>
    <n v="8581"/>
    <n v="9010"/>
    <n v="12055"/>
    <m/>
    <n v="1507"/>
  </r>
  <r>
    <x v="2"/>
    <x v="16"/>
    <n v="8872"/>
    <n v="9079"/>
    <n v="12039"/>
    <m/>
    <n v="1424"/>
  </r>
  <r>
    <x v="2"/>
    <x v="17"/>
    <n v="8872"/>
    <n v="9015"/>
    <n v="12039"/>
    <m/>
    <n v="1488"/>
  </r>
  <r>
    <x v="2"/>
    <x v="18"/>
    <n v="8573"/>
    <n v="9549"/>
    <n v="12215"/>
    <m/>
    <n v="1488"/>
  </r>
  <r>
    <x v="2"/>
    <x v="19"/>
    <n v="8325"/>
    <n v="9077"/>
    <n v="12158"/>
    <m/>
    <n v="1492"/>
  </r>
  <r>
    <x v="2"/>
    <x v="20"/>
    <n v="8453"/>
    <n v="8792"/>
    <n v="12054"/>
    <m/>
    <n v="1495"/>
  </r>
  <r>
    <x v="2"/>
    <x v="21"/>
    <n v="8369"/>
    <n v="8904"/>
    <n v="11960"/>
    <m/>
    <n v="1515"/>
  </r>
  <r>
    <x v="2"/>
    <x v="22"/>
    <n v="8524"/>
    <n v="8975"/>
    <n v="12119"/>
    <m/>
    <n v="1465"/>
  </r>
  <r>
    <x v="2"/>
    <x v="23"/>
    <n v="8585"/>
    <n v="8912"/>
    <n v="12286"/>
    <m/>
    <n v="1468"/>
  </r>
  <r>
    <x v="2"/>
    <x v="24"/>
    <n v="8688"/>
    <n v="8496"/>
    <n v="12008"/>
    <m/>
    <n v="1424"/>
  </r>
  <r>
    <x v="2"/>
    <x v="25"/>
    <n v="8737"/>
    <n v="8497"/>
    <n v="12085"/>
    <m/>
    <n v="1472"/>
  </r>
  <r>
    <x v="2"/>
    <x v="26"/>
    <n v="8722"/>
    <n v="8612"/>
    <n v="12202"/>
    <m/>
    <n v="1416"/>
  </r>
  <r>
    <x v="2"/>
    <x v="27"/>
    <n v="8505"/>
    <n v="8880"/>
    <n v="12568"/>
    <m/>
    <n v="1372"/>
  </r>
  <r>
    <x v="2"/>
    <x v="28"/>
    <n v="8562"/>
    <n v="8944"/>
    <n v="12675"/>
    <m/>
    <n v="1342"/>
  </r>
  <r>
    <x v="2"/>
    <x v="29"/>
    <n v="8562"/>
    <n v="8943"/>
    <n v="12675"/>
    <m/>
    <n v="1343"/>
  </r>
  <r>
    <x v="2"/>
    <x v="30"/>
    <n v="8442"/>
    <n v="8693"/>
    <n v="12677"/>
    <m/>
    <n v="1343"/>
  </r>
  <r>
    <x v="2"/>
    <x v="31"/>
    <n v="8501"/>
    <n v="8604"/>
    <n v="12690"/>
    <m/>
    <n v="1364"/>
  </r>
  <r>
    <x v="2"/>
    <x v="32"/>
    <n v="8384"/>
    <n v="7888"/>
    <n v="13037"/>
    <m/>
    <n v="1411"/>
  </r>
  <r>
    <x v="2"/>
    <x v="33"/>
    <n v="8296"/>
    <n v="8140"/>
    <n v="12801"/>
    <m/>
    <n v="1356"/>
  </r>
  <r>
    <x v="2"/>
    <x v="34"/>
    <n v="8296"/>
    <n v="8140"/>
    <n v="12801"/>
    <m/>
    <n v="1356"/>
  </r>
  <r>
    <x v="3"/>
    <x v="35"/>
    <n v="7445"/>
    <n v="7789"/>
    <n v="12652"/>
    <m/>
    <n v="1356"/>
  </r>
  <r>
    <x v="3"/>
    <x v="36"/>
    <n v="7515"/>
    <n v="7704"/>
    <n v="12799"/>
    <m/>
    <n v="1395"/>
  </r>
  <r>
    <x v="3"/>
    <x v="37"/>
    <n v="7756"/>
    <n v="7956"/>
    <n v="13085"/>
    <m/>
    <n v="1378"/>
  </r>
  <r>
    <x v="3"/>
    <x v="38"/>
    <n v="7299"/>
    <n v="7666"/>
    <n v="14114"/>
    <m/>
    <n v="1467"/>
  </r>
  <r>
    <x v="3"/>
    <x v="39"/>
    <n v="7327"/>
    <n v="7646"/>
    <n v="14359"/>
    <m/>
    <n v="1376"/>
  </r>
  <r>
    <x v="3"/>
    <x v="40"/>
    <n v="7345"/>
    <n v="7584"/>
    <n v="14506"/>
    <m/>
    <n v="1393"/>
  </r>
  <r>
    <x v="3"/>
    <x v="41"/>
    <n v="7415"/>
    <n v="7624"/>
    <n v="14436"/>
    <m/>
    <n v="1360"/>
  </r>
  <r>
    <x v="3"/>
    <x v="42"/>
    <n v="6915"/>
    <n v="7639"/>
    <n v="14550"/>
    <m/>
    <n v="1413"/>
  </r>
  <r>
    <x v="3"/>
    <x v="43"/>
    <n v="7132"/>
    <n v="7888"/>
    <n v="14372"/>
    <m/>
    <n v="1322"/>
  </r>
  <r>
    <x v="3"/>
    <x v="44"/>
    <n v="7246"/>
    <n v="7993"/>
    <n v="14259"/>
    <m/>
    <n v="1322"/>
  </r>
  <r>
    <x v="3"/>
    <x v="45"/>
    <n v="7205"/>
    <n v="7764"/>
    <n v="13268"/>
    <m/>
    <n v="1322"/>
  </r>
  <r>
    <x v="3"/>
    <x v="46"/>
    <n v="7180"/>
    <n v="7789"/>
    <n v="13083"/>
    <m/>
    <n v="1286"/>
  </r>
  <r>
    <x v="3"/>
    <x v="47"/>
    <n v="7226"/>
    <n v="7983"/>
    <n v="13316"/>
    <m/>
    <n v="1514"/>
  </r>
  <r>
    <x v="4"/>
    <x v="48"/>
    <n v="7171"/>
    <n v="7337"/>
    <n v="13276"/>
    <m/>
    <n v="1511"/>
  </r>
  <r>
    <x v="4"/>
    <x v="49"/>
    <n v="6883"/>
    <n v="7283"/>
    <n v="13509"/>
    <m/>
    <n v="1492"/>
  </r>
  <r>
    <x v="4"/>
    <x v="50"/>
    <n v="7054"/>
    <n v="7179"/>
    <n v="13331"/>
    <m/>
    <n v="1492"/>
  </r>
  <r>
    <x v="4"/>
    <x v="51"/>
    <n v="7118"/>
    <n v="7469"/>
    <n v="13473"/>
    <m/>
    <n v="1475"/>
  </r>
  <r>
    <x v="4"/>
    <x v="52"/>
    <n v="6645"/>
    <n v="7578"/>
    <n v="13303"/>
    <m/>
    <n v="1487"/>
  </r>
  <r>
    <x v="4"/>
    <x v="53"/>
    <n v="6626"/>
    <n v="7790"/>
    <n v="13255"/>
    <m/>
    <n v="1487"/>
  </r>
  <r>
    <x v="4"/>
    <x v="54"/>
    <n v="6711"/>
    <n v="7882"/>
    <n v="13156"/>
    <m/>
    <n v="1463"/>
  </r>
  <r>
    <x v="4"/>
    <x v="55"/>
    <n v="6998"/>
    <n v="8233"/>
    <n v="12432"/>
    <m/>
    <n v="1400"/>
  </r>
  <r>
    <x v="4"/>
    <x v="56"/>
    <n v="6343"/>
    <n v="8000"/>
    <n v="12314"/>
    <m/>
    <n v="1394"/>
  </r>
  <r>
    <x v="4"/>
    <x v="57"/>
    <n v="6530"/>
    <n v="8259"/>
    <n v="12656"/>
    <m/>
    <n v="1437"/>
  </r>
  <r>
    <x v="4"/>
    <x v="58"/>
    <n v="6643"/>
    <n v="8112"/>
    <n v="13183"/>
    <m/>
    <n v="1440"/>
  </r>
  <r>
    <x v="4"/>
    <x v="59"/>
    <n v="6598"/>
    <n v="8256"/>
    <n v="12920"/>
    <m/>
    <n v="1428"/>
  </r>
  <r>
    <x v="4"/>
    <x v="60"/>
    <n v="6638"/>
    <n v="8019"/>
    <n v="12424"/>
    <m/>
    <n v="1402"/>
  </r>
  <r>
    <x v="4"/>
    <x v="61"/>
    <n v="6408"/>
    <n v="8161"/>
    <n v="12578"/>
    <m/>
    <n v="1402"/>
  </r>
  <r>
    <x v="5"/>
    <x v="62"/>
    <n v="5936"/>
    <n v="8409"/>
    <n v="12289"/>
    <m/>
    <n v="1391"/>
  </r>
  <r>
    <x v="5"/>
    <x v="63"/>
    <n v="5610"/>
    <n v="8409"/>
    <n v="12203"/>
    <m/>
    <n v="1391"/>
  </r>
  <r>
    <x v="5"/>
    <x v="64"/>
    <n v="5139"/>
    <n v="8539"/>
    <n v="12370"/>
    <m/>
    <n v="1385"/>
  </r>
  <r>
    <x v="5"/>
    <x v="65"/>
    <n v="5139"/>
    <n v="8916"/>
    <n v="12438"/>
    <m/>
    <n v="1391"/>
  </r>
  <r>
    <x v="5"/>
    <x v="66"/>
    <n v="4833"/>
    <n v="9057"/>
    <n v="12632"/>
    <m/>
    <n v="1381"/>
  </r>
  <r>
    <x v="5"/>
    <x v="67"/>
    <n v="4151"/>
    <n v="8848"/>
    <n v="12872"/>
    <m/>
    <n v="1373"/>
  </r>
  <r>
    <x v="5"/>
    <x v="68"/>
    <n v="4332"/>
    <n v="8823"/>
    <n v="13096"/>
    <m/>
    <n v="1535"/>
  </r>
  <r>
    <x v="5"/>
    <x v="69"/>
    <n v="4737"/>
    <n v="9111"/>
    <n v="13213"/>
    <m/>
    <n v="1604"/>
  </r>
  <r>
    <x v="5"/>
    <x v="70"/>
    <n v="4541"/>
    <n v="9135"/>
    <n v="12755"/>
    <m/>
    <n v="1605"/>
  </r>
  <r>
    <x v="5"/>
    <x v="71"/>
    <n v="4580"/>
    <n v="9252"/>
    <n v="12927"/>
    <m/>
    <n v="1616"/>
  </r>
  <r>
    <x v="5"/>
    <x v="72"/>
    <n v="4785"/>
    <n v="9200"/>
    <n v="13255"/>
    <m/>
    <n v="1615"/>
  </r>
  <r>
    <x v="5"/>
    <x v="73"/>
    <n v="4606"/>
    <n v="8607"/>
    <n v="13184"/>
    <m/>
    <n v="1678"/>
  </r>
  <r>
    <x v="5"/>
    <x v="74"/>
    <n v="4567"/>
    <n v="8985"/>
    <n v="13135"/>
    <m/>
    <n v="1670"/>
  </r>
  <r>
    <x v="5"/>
    <x v="75"/>
    <n v="4569"/>
    <n v="9005"/>
    <n v="13055"/>
    <m/>
    <n v="1679"/>
  </r>
  <r>
    <x v="6"/>
    <x v="76"/>
    <n v="4804"/>
    <n v="9182"/>
    <n v="14126"/>
    <m/>
    <n v="743"/>
  </r>
  <r>
    <x v="6"/>
    <x v="77"/>
    <n v="4781"/>
    <n v="8899"/>
    <n v="14347"/>
    <m/>
    <n v="837"/>
  </r>
  <r>
    <x v="6"/>
    <x v="78"/>
    <n v="4916"/>
    <n v="8811"/>
    <n v="14984"/>
    <m/>
    <n v="958"/>
  </r>
  <r>
    <x v="6"/>
    <x v="79"/>
    <n v="4931"/>
    <n v="8837"/>
    <n v="15545"/>
    <m/>
    <n v="885"/>
  </r>
  <r>
    <x v="6"/>
    <x v="80"/>
    <n v="4931"/>
    <n v="8611"/>
    <n v="15545"/>
    <m/>
    <n v="1058"/>
  </r>
  <r>
    <x v="6"/>
    <x v="81"/>
    <n v="4980"/>
    <n v="8993"/>
    <n v="15977"/>
    <m/>
    <n v="1068"/>
  </r>
  <r>
    <x v="6"/>
    <x v="82"/>
    <n v="5115"/>
    <n v="9420"/>
    <n v="16404"/>
    <m/>
    <n v="1009"/>
  </r>
  <r>
    <x v="6"/>
    <x v="83"/>
    <n v="4778"/>
    <n v="9493.32"/>
    <n v="16795"/>
    <m/>
    <n v="999.68"/>
  </r>
  <r>
    <x v="6"/>
    <x v="84"/>
    <n v="4752"/>
    <n v="8796"/>
    <n v="17062"/>
    <m/>
    <n v="844"/>
  </r>
  <r>
    <x v="6"/>
    <x v="85"/>
    <n v="4752"/>
    <n v="8743"/>
    <n v="17131"/>
    <m/>
    <n v="894"/>
  </r>
  <r>
    <x v="6"/>
    <x v="86"/>
    <n v="4869"/>
    <n v="8884"/>
    <n v="17152"/>
    <m/>
    <n v="861"/>
  </r>
  <r>
    <x v="6"/>
    <x v="87"/>
    <n v="4876"/>
    <n v="9155"/>
    <n v="17492"/>
    <m/>
    <n v="813"/>
  </r>
  <r>
    <x v="6"/>
    <x v="88"/>
    <n v="4796"/>
    <n v="8340"/>
    <n v="17283"/>
    <m/>
    <n v="763"/>
  </r>
  <r>
    <x v="6"/>
    <x v="89"/>
    <n v="4796"/>
    <n v="8255"/>
    <n v="17383"/>
    <m/>
    <n v="842"/>
  </r>
  <r>
    <x v="6"/>
    <x v="90"/>
    <n v="4776"/>
    <n v="8554"/>
    <n v="17443"/>
    <m/>
    <n v="699"/>
  </r>
  <r>
    <x v="6"/>
    <x v="91"/>
    <n v="4918"/>
    <n v="8351"/>
    <n v="17562"/>
    <m/>
    <n v="746"/>
  </r>
  <r>
    <x v="6"/>
    <x v="92"/>
    <n v="5049"/>
    <n v="8477"/>
    <n v="17812"/>
    <m/>
    <n v="713"/>
  </r>
  <r>
    <x v="7"/>
    <x v="93"/>
    <n v="4381"/>
    <n v="7839"/>
    <n v="17970"/>
    <m/>
    <n v="625"/>
  </r>
  <r>
    <x v="7"/>
    <x v="94"/>
    <n v="4381"/>
    <n v="7739"/>
    <n v="17928"/>
    <m/>
    <n v="675"/>
  </r>
  <r>
    <x v="7"/>
    <x v="95"/>
    <n v="4493"/>
    <n v="8327"/>
    <n v="18040"/>
    <m/>
    <n v="726"/>
  </r>
  <r>
    <x v="7"/>
    <x v="96"/>
    <n v="4603"/>
    <n v="8263"/>
    <n v="17739"/>
    <m/>
    <n v="808"/>
  </r>
  <r>
    <x v="7"/>
    <x v="97"/>
    <n v="4735"/>
    <n v="8387"/>
    <n v="17306"/>
    <m/>
    <n v="755"/>
  </r>
  <r>
    <x v="7"/>
    <x v="98"/>
    <n v="4463"/>
    <n v="8191"/>
    <n v="17386"/>
    <m/>
    <n v="692"/>
  </r>
  <r>
    <x v="7"/>
    <x v="99"/>
    <n v="4463"/>
    <n v="8180"/>
    <n v="17386"/>
    <m/>
    <n v="707"/>
  </r>
  <r>
    <x v="7"/>
    <x v="100"/>
    <n v="4571"/>
    <n v="8472"/>
    <n v="16596"/>
    <m/>
    <n v="707"/>
  </r>
  <r>
    <x v="7"/>
    <x v="101"/>
    <n v="4877"/>
    <n v="8230"/>
    <n v="16012"/>
    <m/>
    <n v="607"/>
  </r>
  <r>
    <x v="7"/>
    <x v="102"/>
    <n v="4574"/>
    <n v="8125"/>
    <n v="16064"/>
    <m/>
    <n v="596"/>
  </r>
  <r>
    <x v="7"/>
    <x v="103"/>
    <n v="4574"/>
    <n v="8368"/>
    <n v="16235"/>
    <m/>
    <n v="596"/>
  </r>
  <r>
    <x v="7"/>
    <x v="104"/>
    <n v="4552"/>
    <n v="8391"/>
    <n v="16342"/>
    <m/>
    <n v="572"/>
  </r>
  <r>
    <x v="7"/>
    <x v="105"/>
    <n v="4508"/>
    <n v="8223"/>
    <n v="16340"/>
    <m/>
    <n v="551"/>
  </r>
  <r>
    <x v="7"/>
    <x v="106"/>
    <n v="4458"/>
    <n v="8809"/>
    <n v="16154"/>
    <m/>
    <n v="551"/>
  </r>
  <r>
    <x v="7"/>
    <x v="107"/>
    <n v="4458"/>
    <n v="8809"/>
    <n v="16130"/>
    <m/>
    <n v="551"/>
  </r>
  <r>
    <x v="7"/>
    <x v="108"/>
    <n v="4458"/>
    <n v="8809"/>
    <n v="15865"/>
    <m/>
    <n v="551"/>
  </r>
  <r>
    <x v="7"/>
    <x v="109"/>
    <n v="4388"/>
    <n v="8809"/>
    <n v="15991"/>
    <m/>
    <n v="551"/>
  </r>
  <r>
    <x v="8"/>
    <x v="110"/>
    <n v="4320"/>
    <n v="8809"/>
    <n v="15993"/>
    <m/>
    <n v="551"/>
  </r>
  <r>
    <x v="8"/>
    <x v="111"/>
    <n v="4258"/>
    <n v="9107"/>
    <n v="15988"/>
    <m/>
    <n v="551"/>
  </r>
  <r>
    <x v="8"/>
    <x v="112"/>
    <n v="4242"/>
    <n v="9157"/>
    <n v="15538"/>
    <m/>
    <n v="551"/>
  </r>
  <r>
    <x v="8"/>
    <x v="113"/>
    <n v="4083"/>
    <n v="9455"/>
    <n v="15336"/>
    <m/>
    <n v="578"/>
  </r>
  <r>
    <x v="8"/>
    <x v="114"/>
    <n v="5258"/>
    <n v="9984"/>
    <n v="16407"/>
    <m/>
    <n v="766"/>
  </r>
  <r>
    <x v="8"/>
    <x v="115"/>
    <n v="5207"/>
    <n v="9898"/>
    <n v="16438"/>
    <m/>
    <n v="837"/>
  </r>
  <r>
    <x v="8"/>
    <x v="116"/>
    <n v="5336"/>
    <n v="10067"/>
    <n v="16671"/>
    <m/>
    <n v="858"/>
  </r>
  <r>
    <x v="8"/>
    <x v="117"/>
    <n v="5999"/>
    <n v="10005"/>
    <n v="18031"/>
    <m/>
    <n v="1030"/>
  </r>
  <r>
    <x v="8"/>
    <x v="118"/>
    <n v="5999"/>
    <n v="9835"/>
    <n v="18025"/>
    <m/>
    <n v="1117"/>
  </r>
  <r>
    <x v="8"/>
    <x v="119"/>
    <n v="5941"/>
    <n v="9998"/>
    <n v="17970"/>
    <m/>
    <n v="1049"/>
  </r>
  <r>
    <x v="8"/>
    <x v="120"/>
    <n v="5911"/>
    <n v="10082"/>
    <n v="18086"/>
    <m/>
    <n v="1051"/>
  </r>
  <r>
    <x v="9"/>
    <x v="121"/>
    <n v="6026"/>
    <n v="10063"/>
    <n v="18822"/>
    <m/>
    <n v="1075"/>
  </r>
  <r>
    <x v="9"/>
    <x v="122"/>
    <n v="6026"/>
    <n v="10018"/>
    <n v="18922"/>
    <m/>
    <n v="1071"/>
  </r>
  <r>
    <x v="9"/>
    <x v="123"/>
    <n v="6144"/>
    <n v="10111"/>
    <n v="19200"/>
    <m/>
    <n v="1115"/>
  </r>
  <r>
    <x v="9"/>
    <x v="124"/>
    <n v="6275"/>
    <n v="9968"/>
    <n v="19861"/>
    <m/>
    <n v="1104"/>
  </r>
  <r>
    <x v="9"/>
    <x v="125"/>
    <n v="6323"/>
    <n v="9918"/>
    <n v="19438"/>
    <m/>
    <n v="1106"/>
  </r>
  <r>
    <x v="9"/>
    <x v="126"/>
    <n v="6413"/>
    <n v="10069"/>
    <n v="18979"/>
    <m/>
    <n v="1101"/>
  </r>
  <r>
    <x v="9"/>
    <x v="127"/>
    <n v="6541"/>
    <n v="10058"/>
    <n v="18482"/>
    <m/>
    <n v="1132"/>
  </r>
  <r>
    <x v="9"/>
    <x v="128"/>
    <n v="6618"/>
    <n v="10082"/>
    <n v="18623"/>
    <m/>
    <n v="1207"/>
  </r>
  <r>
    <x v="9"/>
    <x v="129"/>
    <n v="6362"/>
    <n v="10239"/>
    <n v="18064"/>
    <m/>
    <n v="1240"/>
  </r>
  <r>
    <x v="9"/>
    <x v="130"/>
    <n v="6446"/>
    <n v="10197"/>
    <n v="17972"/>
    <m/>
    <n v="1240"/>
  </r>
  <r>
    <x v="9"/>
    <x v="131"/>
    <n v="6363"/>
    <n v="10473"/>
    <n v="18396"/>
    <m/>
    <n v="1236"/>
  </r>
  <r>
    <x v="9"/>
    <x v="132"/>
    <n v="6425"/>
    <n v="10412"/>
    <n v="18149"/>
    <m/>
    <n v="1241"/>
  </r>
  <r>
    <x v="9"/>
    <x v="133"/>
    <n v="6482"/>
    <n v="10383"/>
    <n v="17629"/>
    <m/>
    <n v="1277"/>
  </r>
  <r>
    <x v="9"/>
    <x v="134"/>
    <n v="6421"/>
    <n v="10228"/>
    <n v="16993"/>
    <m/>
    <n v="1332"/>
  </r>
  <r>
    <x v="9"/>
    <x v="135"/>
    <n v="6304"/>
    <n v="10015"/>
    <n v="16870"/>
    <m/>
    <n v="1473"/>
  </r>
  <r>
    <x v="9"/>
    <x v="136"/>
    <n v="6711"/>
    <n v="10213"/>
    <n v="16746"/>
    <m/>
    <n v="1478"/>
  </r>
  <r>
    <x v="9"/>
    <x v="137"/>
    <n v="6959"/>
    <n v="10057"/>
    <n v="16562"/>
    <n v="1890"/>
    <n v="1484"/>
  </r>
  <r>
    <x v="9"/>
    <x v="138"/>
    <n v="6767"/>
    <n v="10682"/>
    <n v="16264"/>
    <n v="1891"/>
    <n v="1137"/>
  </r>
  <r>
    <x v="10"/>
    <x v="139"/>
    <n v="6431"/>
    <n v="10388"/>
    <n v="15779"/>
    <n v="1917.4"/>
    <n v="714"/>
  </r>
  <r>
    <x v="10"/>
    <x v="140"/>
    <n v="6315"/>
    <n v="10187"/>
    <n v="15725"/>
    <n v="1917.4"/>
    <n v="794"/>
  </r>
  <r>
    <x v="10"/>
    <x v="141"/>
    <n v="6430"/>
    <n v="10508"/>
    <n v="16029"/>
    <n v="2109.4"/>
    <n v="733"/>
  </r>
  <r>
    <x v="10"/>
    <x v="142"/>
    <n v="6627"/>
    <n v="10512"/>
    <n v="15786"/>
    <n v="2206.4"/>
    <n v="644"/>
  </r>
  <r>
    <x v="10"/>
    <x v="143"/>
    <n v="6600"/>
    <n v="10194"/>
    <n v="15524"/>
    <n v="2174.4"/>
    <n v="617"/>
  </r>
  <r>
    <x v="10"/>
    <x v="144"/>
    <n v="6564"/>
    <n v="10013"/>
    <n v="15595"/>
    <n v="2276.4"/>
    <n v="623"/>
  </r>
  <r>
    <x v="10"/>
    <x v="145"/>
    <n v="6639"/>
    <n v="10883"/>
    <n v="15639"/>
    <n v="2510.4"/>
    <m/>
  </r>
  <r>
    <x v="10"/>
    <x v="146"/>
    <n v="6856"/>
    <n v="10767"/>
    <n v="15443"/>
    <n v="2668.4"/>
    <m/>
  </r>
  <r>
    <x v="10"/>
    <x v="147"/>
    <n v="6942"/>
    <n v="10614"/>
    <n v="15572"/>
    <n v="2651.4"/>
    <m/>
  </r>
  <r>
    <x v="10"/>
    <x v="148"/>
    <n v="6649"/>
    <n v="10190"/>
    <n v="15404"/>
    <n v="2644.4"/>
    <m/>
  </r>
  <r>
    <x v="10"/>
    <x v="149"/>
    <n v="6649"/>
    <n v="10089"/>
    <n v="15234"/>
    <n v="2644.4"/>
    <m/>
  </r>
  <r>
    <x v="10"/>
    <x v="150"/>
    <n v="6751"/>
    <n v="10290"/>
    <n v="14918"/>
    <n v="2752.4"/>
    <m/>
  </r>
  <r>
    <x v="10"/>
    <x v="151"/>
    <n v="6732"/>
    <n v="10267"/>
    <n v="15369"/>
    <n v="2914.4"/>
    <m/>
  </r>
  <r>
    <x v="10"/>
    <x v="152"/>
    <n v="6761"/>
    <n v="10178"/>
    <n v="15939"/>
    <n v="3068.4"/>
    <m/>
  </r>
  <r>
    <x v="10"/>
    <x v="153"/>
    <n v="6806"/>
    <n v="9528"/>
    <n v="15411"/>
    <n v="2930.4"/>
    <m/>
  </r>
  <r>
    <x v="10"/>
    <x v="154"/>
    <n v="5958.04"/>
    <n v="9364"/>
    <n v="15189"/>
    <n v="3064.4"/>
    <m/>
  </r>
  <r>
    <x v="10"/>
    <x v="155"/>
    <n v="6088.04"/>
    <n v="9405"/>
    <n v="15345"/>
    <n v="3217.4"/>
    <m/>
  </r>
  <r>
    <x v="10"/>
    <x v="156"/>
    <n v="6171"/>
    <n v="9420"/>
    <n v="15446"/>
    <n v="3445.4"/>
    <m/>
  </r>
  <r>
    <x v="10"/>
    <x v="157"/>
    <n v="6044"/>
    <n v="9264"/>
    <n v="15754"/>
    <n v="3279.4"/>
    <m/>
  </r>
  <r>
    <x v="10"/>
    <x v="158"/>
    <n v="5949"/>
    <n v="8837"/>
    <n v="15289"/>
    <n v="3156.4"/>
    <m/>
  </r>
  <r>
    <x v="10"/>
    <x v="159"/>
    <n v="5949"/>
    <n v="8725"/>
    <n v="15181"/>
    <n v="3127.4"/>
    <m/>
  </r>
  <r>
    <x v="11"/>
    <x v="160"/>
    <n v="5900"/>
    <n v="8864"/>
    <n v="15126"/>
    <n v="3498.4"/>
    <m/>
  </r>
  <r>
    <x v="11"/>
    <x v="161"/>
    <n v="5644"/>
    <n v="8735"/>
    <n v="15326"/>
    <n v="3342.4"/>
    <m/>
  </r>
  <r>
    <x v="11"/>
    <x v="162"/>
    <n v="5029.04"/>
    <n v="8014.32"/>
    <n v="14628"/>
    <n v="3244.4"/>
    <m/>
  </r>
  <r>
    <x v="11"/>
    <x v="163"/>
    <n v="5029.04"/>
    <n v="8014.32"/>
    <n v="14628"/>
    <n v="3199.4"/>
    <m/>
  </r>
  <r>
    <x v="11"/>
    <x v="164"/>
    <n v="5105.04"/>
    <n v="8058.32"/>
    <n v="15020"/>
    <n v="3374.4"/>
    <m/>
  </r>
  <r>
    <x v="11"/>
    <x v="165"/>
    <n v="4926.04"/>
    <n v="8245"/>
    <n v="15176.15"/>
    <n v="3763"/>
    <m/>
  </r>
  <r>
    <x v="11"/>
    <x v="166"/>
    <n v="4973.04"/>
    <n v="8178"/>
    <n v="15344.15"/>
    <n v="3669"/>
    <m/>
  </r>
  <r>
    <x v="11"/>
    <x v="167"/>
    <n v="5322.04"/>
    <n v="7914"/>
    <n v="14759.15"/>
    <n v="3380"/>
    <m/>
  </r>
  <r>
    <x v="11"/>
    <x v="168"/>
    <n v="5322.04"/>
    <n v="7914"/>
    <n v="14682"/>
    <n v="3375"/>
    <m/>
  </r>
  <r>
    <x v="11"/>
    <x v="169"/>
    <n v="5432.04"/>
    <n v="8167"/>
    <n v="15043"/>
    <n v="3681"/>
    <m/>
  </r>
  <r>
    <x v="11"/>
    <x v="170"/>
    <n v="5647.04"/>
    <n v="7727"/>
    <n v="15052"/>
    <n v="3737"/>
    <m/>
  </r>
  <r>
    <x v="11"/>
    <x v="171"/>
    <n v="5541.04"/>
    <n v="7705"/>
    <n v="15165"/>
    <n v="3621"/>
    <m/>
  </r>
  <r>
    <x v="11"/>
    <x v="172"/>
    <n v="5502.04"/>
    <n v="7516"/>
    <n v="14963"/>
    <n v="3193.7"/>
    <m/>
  </r>
  <r>
    <x v="11"/>
    <x v="173"/>
    <n v="5502.04"/>
    <n v="7515"/>
    <n v="14872"/>
    <n v="3274.7"/>
    <m/>
  </r>
  <r>
    <x v="11"/>
    <x v="174"/>
    <n v="5784.04"/>
    <n v="7641"/>
    <n v="15299"/>
    <n v="3581.7"/>
    <m/>
  </r>
  <r>
    <x v="11"/>
    <x v="175"/>
    <n v="5937.04"/>
    <n v="7631"/>
    <n v="15293"/>
    <n v="3598.7"/>
    <m/>
  </r>
  <r>
    <x v="11"/>
    <x v="176"/>
    <n v="6058.04"/>
    <n v="7604"/>
    <n v="15463"/>
    <n v="3420.7"/>
    <m/>
  </r>
  <r>
    <x v="11"/>
    <x v="177"/>
    <n v="6349.04"/>
    <n v="7242"/>
    <n v="15333"/>
    <n v="3065.7"/>
    <m/>
  </r>
  <r>
    <x v="11"/>
    <x v="178"/>
    <n v="6349.04"/>
    <n v="7242"/>
    <n v="15243"/>
    <n v="3061.04"/>
    <m/>
  </r>
  <r>
    <x v="11"/>
    <x v="179"/>
    <n v="6407.04"/>
    <n v="7241"/>
    <n v="15688"/>
    <n v="3350.4"/>
    <m/>
  </r>
  <r>
    <x v="12"/>
    <x v="180"/>
    <n v="6902.04"/>
    <n v="7062"/>
    <n v="15572"/>
    <n v="2929.4"/>
    <m/>
  </r>
  <r>
    <x v="12"/>
    <x v="181"/>
    <n v="6335.04"/>
    <n v="7062"/>
    <n v="15694"/>
    <n v="2929.4"/>
    <m/>
  </r>
  <r>
    <x v="12"/>
    <x v="182"/>
    <n v="6251.04"/>
    <n v="6971"/>
    <n v="15671"/>
    <n v="3152.4"/>
    <m/>
  </r>
  <r>
    <x v="12"/>
    <x v="183"/>
    <n v="6078.04"/>
    <n v="7154"/>
    <n v="15854"/>
    <n v="3345.4"/>
    <m/>
  </r>
  <r>
    <x v="12"/>
    <x v="184"/>
    <n v="6078.04"/>
    <n v="7064"/>
    <n v="15380"/>
    <n v="3105.4"/>
    <m/>
  </r>
  <r>
    <x v="12"/>
    <x v="185"/>
    <n v="6012.04"/>
    <n v="7060"/>
    <n v="15470"/>
    <n v="3177.14"/>
    <m/>
  </r>
  <r>
    <x v="12"/>
    <x v="186"/>
    <n v="6268.04"/>
    <n v="7152"/>
    <n v="15289"/>
    <n v="3242.4"/>
    <m/>
  </r>
  <r>
    <x v="12"/>
    <x v="187"/>
    <n v="6507.04"/>
    <n v="7257"/>
    <n v="15407"/>
    <n v="3087.4"/>
    <m/>
  </r>
  <r>
    <x v="12"/>
    <x v="188"/>
    <n v="6721.04"/>
    <n v="6792"/>
    <n v="14980"/>
    <n v="2667.4"/>
    <m/>
  </r>
  <r>
    <x v="12"/>
    <x v="189"/>
    <n v="6704.04"/>
    <n v="6792"/>
    <n v="14891"/>
    <n v="2667.4"/>
    <m/>
  </r>
  <r>
    <x v="12"/>
    <x v="190"/>
    <n v="7511"/>
    <n v="6936"/>
    <n v="15273"/>
    <n v="2955.4"/>
    <m/>
  </r>
  <r>
    <x v="12"/>
    <x v="191"/>
    <n v="6666"/>
    <n v="6924"/>
    <n v="15205"/>
    <n v="2816.4"/>
    <m/>
  </r>
  <r>
    <x v="12"/>
    <x v="192"/>
    <n v="6668"/>
    <n v="6858"/>
    <n v="15300"/>
    <n v="2682.4"/>
    <m/>
  </r>
  <r>
    <x v="12"/>
    <x v="193"/>
    <n v="7215"/>
    <n v="6601"/>
    <n v="15646"/>
    <n v="2487.4"/>
    <m/>
  </r>
  <r>
    <x v="12"/>
    <x v="194"/>
    <n v="7310"/>
    <n v="6573"/>
    <n v="15439"/>
    <n v="2493.21"/>
    <m/>
  </r>
  <r>
    <x v="12"/>
    <x v="195"/>
    <n v="7129"/>
    <n v="6584"/>
    <n v="15695"/>
    <n v="2611.4699999999998"/>
    <m/>
  </r>
  <r>
    <x v="12"/>
    <x v="196"/>
    <n v="7034"/>
    <n v="6828"/>
    <n v="15950"/>
    <n v="2769.65"/>
    <m/>
  </r>
  <r>
    <x v="12"/>
    <x v="197"/>
    <n v="7452"/>
    <n v="6713"/>
    <n v="16210"/>
    <n v="2567.65"/>
    <m/>
  </r>
  <r>
    <x v="13"/>
    <x v="198"/>
    <n v="6813.6"/>
    <n v="6747.4"/>
    <n v="15935"/>
    <n v="2766.35"/>
    <m/>
  </r>
  <r>
    <x v="13"/>
    <x v="199"/>
    <n v="6803.6"/>
    <n v="6525.4"/>
    <n v="15554"/>
    <n v="2469.35"/>
    <m/>
  </r>
  <r>
    <x v="13"/>
    <x v="200"/>
    <n v="6692.6"/>
    <n v="6620.4"/>
    <n v="16020"/>
    <n v="2537.35"/>
    <m/>
  </r>
  <r>
    <x v="13"/>
    <x v="201"/>
    <n v="7630"/>
    <n v="6395"/>
    <n v="15627"/>
    <n v="2629.35"/>
    <m/>
  </r>
  <r>
    <x v="13"/>
    <x v="202"/>
    <n v="7412"/>
    <n v="6295"/>
    <n v="15540"/>
    <n v="2640.5"/>
    <m/>
  </r>
  <r>
    <x v="13"/>
    <x v="203"/>
    <n v="7132"/>
    <n v="6380"/>
    <n v="15983"/>
    <n v="2877.45"/>
    <m/>
  </r>
  <r>
    <x v="13"/>
    <x v="204"/>
    <n v="6954"/>
    <n v="6265"/>
    <n v="16375"/>
    <n v="2868.45"/>
    <m/>
  </r>
  <r>
    <x v="13"/>
    <x v="205"/>
    <n v="6932"/>
    <n v="5917"/>
    <n v="16314"/>
    <n v="2772.3"/>
    <m/>
  </r>
  <r>
    <x v="13"/>
    <x v="206"/>
    <n v="7161"/>
    <n v="5829"/>
    <n v="16126"/>
    <n v="2516.3000000000002"/>
    <m/>
  </r>
  <r>
    <x v="13"/>
    <x v="207"/>
    <n v="7428"/>
    <n v="5875"/>
    <n v="16238"/>
    <n v="2659.3"/>
    <m/>
  </r>
  <r>
    <x v="13"/>
    <x v="208"/>
    <n v="7066"/>
    <n v="5754"/>
    <n v="16578"/>
    <n v="2682.3"/>
    <m/>
  </r>
  <r>
    <x v="13"/>
    <x v="209"/>
    <n v="6695"/>
    <n v="5680"/>
    <n v="16578"/>
    <n v="2967.3"/>
    <m/>
  </r>
  <r>
    <x v="13"/>
    <x v="210"/>
    <n v="7343"/>
    <n v="5653"/>
    <n v="16888"/>
    <n v="2974.41"/>
    <m/>
  </r>
  <r>
    <x v="13"/>
    <x v="211"/>
    <n v="7078"/>
    <n v="5653"/>
    <n v="16696"/>
    <n v="3074.85"/>
    <m/>
  </r>
  <r>
    <x v="13"/>
    <x v="212"/>
    <n v="6682"/>
    <n v="5807"/>
    <n v="16986"/>
    <n v="3426.85"/>
    <m/>
  </r>
  <r>
    <x v="13"/>
    <x v="213"/>
    <n v="7183"/>
    <n v="5906"/>
    <n v="16925"/>
    <n v="3405.85"/>
    <m/>
  </r>
  <r>
    <x v="13"/>
    <x v="214"/>
    <n v="7039"/>
    <n v="5822"/>
    <n v="16601"/>
    <n v="3374.85"/>
    <m/>
  </r>
  <r>
    <x v="13"/>
    <x v="215"/>
    <n v="6642"/>
    <n v="5520"/>
    <n v="16047"/>
    <n v="3094.15"/>
    <m/>
  </r>
  <r>
    <x v="13"/>
    <x v="216"/>
    <n v="6711"/>
    <n v="5499"/>
    <n v="15901"/>
    <n v="3752.99"/>
    <m/>
  </r>
  <r>
    <x v="13"/>
    <x v="217"/>
    <n v="6520"/>
    <n v="5537"/>
    <n v="16044"/>
    <n v="3846.25"/>
    <m/>
  </r>
  <r>
    <x v="14"/>
    <x v="218"/>
    <n v="6946.55"/>
    <n v="5543.45"/>
    <n v="15556"/>
    <n v="3728.25"/>
    <m/>
  </r>
  <r>
    <x v="14"/>
    <x v="219"/>
    <n v="6980"/>
    <n v="5459"/>
    <n v="14779"/>
    <n v="3434.25"/>
    <m/>
  </r>
  <r>
    <x v="14"/>
    <x v="220"/>
    <n v="6970"/>
    <n v="5456"/>
    <n v="14780"/>
    <n v="3691.35"/>
    <m/>
  </r>
  <r>
    <x v="14"/>
    <x v="221"/>
    <n v="7347"/>
    <n v="5625"/>
    <n v="14841"/>
    <n v="3998.25"/>
    <m/>
  </r>
  <r>
    <x v="14"/>
    <x v="222"/>
    <n v="7541"/>
    <n v="5650"/>
    <n v="15194"/>
    <n v="4097.25"/>
    <m/>
  </r>
  <r>
    <x v="14"/>
    <x v="223"/>
    <n v="7838"/>
    <n v="5881"/>
    <n v="15168"/>
    <n v="4164.1000000000004"/>
    <m/>
  </r>
  <r>
    <x v="14"/>
    <x v="224"/>
    <n v="7880.0249999999996"/>
    <n v="5763.9849999999997"/>
    <n v="14569"/>
    <n v="3646.45"/>
    <m/>
  </r>
  <r>
    <x v="14"/>
    <x v="225"/>
    <n v="7525.0249999999996"/>
    <n v="5763.9849999999997"/>
    <n v="14482"/>
    <n v="3700.45"/>
    <m/>
  </r>
  <r>
    <x v="14"/>
    <x v="226"/>
    <n v="7331.0249999999996"/>
    <n v="6006.9849999999997"/>
    <n v="14399"/>
    <n v="4044.28"/>
    <m/>
  </r>
  <r>
    <x v="14"/>
    <x v="227"/>
    <n v="7373.0249999999996"/>
    <n v="6121.9849999999997"/>
    <n v="14027.13"/>
    <n v="4084"/>
    <m/>
  </r>
  <r>
    <x v="14"/>
    <x v="228"/>
    <n v="7591.0249999999996"/>
    <n v="6200.9849999999997"/>
    <n v="13831.13"/>
    <n v="4064"/>
    <m/>
  </r>
  <r>
    <x v="14"/>
    <x v="229"/>
    <n v="6924.7749999999996"/>
    <n v="6070.2250000000004"/>
    <n v="12803"/>
    <n v="3644.32"/>
    <m/>
  </r>
  <r>
    <x v="14"/>
    <x v="230"/>
    <n v="6967.7749999999996"/>
    <n v="6071.2250000000004"/>
    <n v="12800"/>
    <n v="3644.35"/>
    <m/>
  </r>
  <r>
    <x v="14"/>
    <x v="231"/>
    <n v="6864.7749999999996"/>
    <n v="6258.2250000000004"/>
    <n v="12931"/>
    <n v="3818.35"/>
    <m/>
  </r>
  <r>
    <x v="14"/>
    <x v="232"/>
    <n v="6637.7749999999996"/>
    <n v="6229.2250000000004"/>
    <n v="13061"/>
    <n v="3967.03"/>
    <m/>
  </r>
  <r>
    <x v="14"/>
    <x v="233"/>
    <n v="6663.7749999999996"/>
    <n v="6296.2250000000004"/>
    <n v="13248"/>
    <n v="4065.65"/>
    <m/>
  </r>
  <r>
    <x v="14"/>
    <x v="234"/>
    <n v="6721.9"/>
    <n v="6092.1"/>
    <n v="13315"/>
    <n v="3806.65"/>
    <m/>
  </r>
  <r>
    <x v="14"/>
    <x v="235"/>
    <n v="6324.9"/>
    <n v="6092.1"/>
    <n v="13216"/>
    <n v="3806.65"/>
    <m/>
  </r>
  <r>
    <x v="14"/>
    <x v="236"/>
    <n v="6322.9"/>
    <n v="6121.1"/>
    <n v="13082"/>
    <n v="3944.65"/>
    <m/>
  </r>
  <r>
    <x v="14"/>
    <x v="237"/>
    <n v="6140.9"/>
    <n v="6196.1"/>
    <n v="12841"/>
    <n v="3999.65"/>
    <m/>
  </r>
  <r>
    <x v="15"/>
    <x v="238"/>
    <n v="5633.0249999999996"/>
    <n v="6075.9750000000004"/>
    <n v="12570"/>
    <n v="3615.75"/>
    <m/>
  </r>
  <r>
    <x v="15"/>
    <x v="239"/>
    <n v="5144.0249999999996"/>
    <n v="6075.9750000000004"/>
    <n v="12421"/>
    <n v="3713.75"/>
    <m/>
  </r>
  <r>
    <x v="15"/>
    <x v="240"/>
    <n v="5070.0249999999996"/>
    <n v="6289.9750000000004"/>
    <n v="12395"/>
    <n v="3928.75"/>
    <m/>
  </r>
  <r>
    <x v="15"/>
    <x v="241"/>
    <n v="5070.0249999999996"/>
    <n v="6366.9750000000004"/>
    <n v="12539"/>
    <n v="4041.75"/>
    <m/>
  </r>
  <r>
    <x v="15"/>
    <x v="242"/>
    <n v="5047.0249999999996"/>
    <n v="6441.9750000000004"/>
    <n v="12522"/>
    <n v="4243.75"/>
    <m/>
  </r>
  <r>
    <x v="15"/>
    <x v="243"/>
    <n v="5463.7250000000004"/>
    <n v="6108.2749999999996"/>
    <n v="12636"/>
    <n v="4212.75"/>
    <m/>
  </r>
  <r>
    <x v="15"/>
    <x v="244"/>
    <n v="5414.7250000000004"/>
    <n v="6118.2749999999996"/>
    <n v="12504"/>
    <n v="4214.58"/>
    <m/>
  </r>
  <r>
    <x v="15"/>
    <x v="245"/>
    <n v="5393.7250000000004"/>
    <n v="6223.2749999999996"/>
    <n v="12489"/>
    <n v="4456.3"/>
    <m/>
  </r>
  <r>
    <x v="15"/>
    <x v="246"/>
    <n v="5259.7250000000004"/>
    <n v="6426.2749999999996"/>
    <n v="12555"/>
    <n v="4527.3"/>
    <m/>
  </r>
  <r>
    <x v="15"/>
    <x v="247"/>
    <n v="5564.6"/>
    <n v="6880.4"/>
    <n v="12783"/>
    <n v="4690.29"/>
    <m/>
  </r>
  <r>
    <x v="15"/>
    <x v="248"/>
    <n v="5363.6"/>
    <n v="6902.4"/>
    <n v="12688"/>
    <n v="4706.2299999999996"/>
    <m/>
  </r>
  <r>
    <x v="15"/>
    <x v="249"/>
    <n v="5540.6"/>
    <n v="7010.4"/>
    <n v="12376"/>
    <n v="4633.95"/>
    <m/>
  </r>
  <r>
    <x v="15"/>
    <x v="250"/>
    <n v="5541.9750000000004"/>
    <n v="7057.0249999999996"/>
    <n v="12457"/>
    <n v="4326.95"/>
    <m/>
  </r>
  <r>
    <x v="15"/>
    <x v="251"/>
    <n v="5590.9750000000004"/>
    <n v="7021.0249999999996"/>
    <n v="12339"/>
    <n v="4326.95"/>
    <m/>
  </r>
  <r>
    <x v="15"/>
    <x v="252"/>
    <n v="5619.335"/>
    <n v="7119.1049999999996"/>
    <n v="12359.95"/>
    <n v="4489.67"/>
    <m/>
  </r>
  <r>
    <x v="15"/>
    <x v="253"/>
    <n v="5723.1150000000007"/>
    <n v="7002.7749999999996"/>
    <n v="12730.1"/>
    <n v="4381.1099999999997"/>
    <m/>
  </r>
  <r>
    <x v="15"/>
    <x v="254"/>
    <n v="5867.875"/>
    <n v="6823.9349999999995"/>
    <n v="12557.83"/>
    <n v="4267.55"/>
    <m/>
  </r>
  <r>
    <x v="15"/>
    <x v="255"/>
    <n v="5641.87"/>
    <n v="6437.39"/>
    <n v="12573.98"/>
    <n v="4384.6899999999996"/>
    <m/>
  </r>
  <r>
    <x v="16"/>
    <x v="256"/>
    <n v="5633.63"/>
    <n v="6409.8600000000006"/>
    <n v="12375.5"/>
    <n v="4159.4799999999996"/>
    <m/>
  </r>
  <r>
    <x v="16"/>
    <x v="257"/>
    <n v="5485.5"/>
    <n v="6463.27"/>
    <n v="12687.61"/>
    <n v="4002.5680000000002"/>
    <m/>
  </r>
  <r>
    <x v="16"/>
    <x v="258"/>
    <n v="5316.3499999999995"/>
    <n v="6432.97"/>
    <n v="12656.27"/>
    <n v="4097.4610000000002"/>
    <m/>
  </r>
  <r>
    <x v="16"/>
    <x v="259"/>
    <n v="5320"/>
    <n v="6429.32"/>
    <n v="12656.27"/>
    <n v="4101.4110000000001"/>
    <m/>
  </r>
  <r>
    <x v="16"/>
    <x v="260"/>
    <n v="5320"/>
    <n v="6429.32"/>
    <n v="12656.27"/>
    <n v="4101.4110000000001"/>
    <m/>
  </r>
  <r>
    <x v="16"/>
    <x v="261"/>
    <n v="5727.85"/>
    <n v="6687.6"/>
    <n v="13294.37"/>
    <n v="4971.701"/>
    <m/>
  </r>
  <r>
    <x v="16"/>
    <x v="262"/>
    <n v="5647.16"/>
    <n v="6819.93"/>
    <n v="13426.84"/>
    <n v="5219.1809999999996"/>
    <m/>
  </r>
  <r>
    <x v="16"/>
    <x v="263"/>
    <n v="5676.86"/>
    <n v="6854.31"/>
    <n v="13501.17"/>
    <n v="5286.9409999999998"/>
    <m/>
  </r>
  <r>
    <x v="16"/>
    <x v="264"/>
    <n v="5757.27"/>
    <n v="6875.02"/>
    <n v="13632.28"/>
    <n v="5234.741"/>
    <m/>
  </r>
  <r>
    <x v="16"/>
    <x v="265"/>
    <n v="5741.7150000000001"/>
    <n v="6500.0950000000003"/>
    <n v="13769.53"/>
    <n v="5170.7910000000002"/>
    <m/>
  </r>
  <r>
    <x v="16"/>
    <x v="266"/>
    <n v="5686.7650000000003"/>
    <n v="6500.0950000000003"/>
    <n v="13703.91"/>
    <n v="5631.5410000000002"/>
    <m/>
  </r>
  <r>
    <x v="16"/>
    <x v="267"/>
    <n v="5951.4350000000004"/>
    <n v="6586.5749999999998"/>
    <n v="13883.35"/>
    <n v="6169.5709999999999"/>
    <m/>
  </r>
  <r>
    <x v="16"/>
    <x v="268"/>
    <n v="6258.5550000000003"/>
    <n v="6579.5349999999999"/>
    <n v="14023.2"/>
    <n v="5989.4009999999998"/>
    <m/>
  </r>
  <r>
    <x v="16"/>
    <x v="269"/>
    <n v="6400.835"/>
    <n v="6701.5649999999996"/>
    <n v="14374.04"/>
    <n v="5981.3230000000003"/>
    <m/>
  </r>
  <r>
    <x v="16"/>
    <x v="270"/>
    <n v="6612.22"/>
    <n v="6732.43"/>
    <n v="14069.68"/>
    <n v="5743.1229999999996"/>
    <m/>
  </r>
  <r>
    <x v="16"/>
    <x v="271"/>
    <n v="6627.12"/>
    <n v="6721.15"/>
    <n v="13863.58"/>
    <n v="5816.1229999999996"/>
    <m/>
  </r>
  <r>
    <x v="16"/>
    <x v="272"/>
    <n v="6835.05"/>
    <n v="6770.52"/>
    <n v="14092.66"/>
    <n v="6118.8540000000003"/>
    <m/>
  </r>
  <r>
    <x v="16"/>
    <x v="273"/>
    <n v="6764.63"/>
    <n v="6776.3"/>
    <n v="14249.58"/>
    <n v="6115.6239999999998"/>
    <m/>
  </r>
  <r>
    <x v="16"/>
    <x v="274"/>
    <n v="7488.7550000000001"/>
    <n v="7181.4750000000004"/>
    <n v="14351.28"/>
    <n v="6202.4759999999997"/>
    <m/>
  </r>
  <r>
    <x v="16"/>
    <x v="275"/>
    <n v="7399.2049999999999"/>
    <n v="6997.7150000000001"/>
    <n v="14275.78"/>
    <n v="6460.9260000000004"/>
    <m/>
  </r>
  <r>
    <x v="17"/>
    <x v="276"/>
    <n v="7534.585"/>
    <n v="7210.4650000000001"/>
    <n v="13899.58"/>
    <n v="6688.8459999999995"/>
    <m/>
  </r>
  <r>
    <x v="17"/>
    <x v="277"/>
    <n v="7329.0749999999998"/>
    <n v="7192.3649999999998"/>
    <n v="13974.6"/>
    <n v="6488.9570000000003"/>
    <m/>
  </r>
  <r>
    <x v="17"/>
    <x v="278"/>
    <n v="7460.2349999999997"/>
    <n v="7512.1149999999998"/>
    <n v="13905.56"/>
    <n v="6752.2070000000003"/>
    <m/>
  </r>
  <r>
    <x v="17"/>
    <x v="279"/>
    <n v="7523.8249999999998"/>
    <n v="7678.0649999999996"/>
    <n v="14197.7"/>
    <n v="6994.1570000000002"/>
    <m/>
  </r>
  <r>
    <x v="17"/>
    <x v="280"/>
    <n v="7513.0749999999998"/>
    <n v="7800.4250000000002"/>
    <n v="14248.81"/>
    <n v="7052.277"/>
    <m/>
  </r>
  <r>
    <x v="17"/>
    <x v="281"/>
    <n v="7619.5349999999999"/>
    <n v="8050.4250000000002"/>
    <n v="14426.74"/>
    <n v="7397.5969999999998"/>
    <m/>
  </r>
  <r>
    <x v="17"/>
    <x v="282"/>
    <n v="7380.7950000000001"/>
    <n v="7536.3050000000003"/>
    <n v="15291.48"/>
    <n v="7174.5569999999998"/>
    <m/>
  </r>
  <r>
    <x v="17"/>
    <x v="283"/>
    <n v="7432.3549999999996"/>
    <n v="7781.7849999999999"/>
    <n v="15441.56"/>
    <n v="7174.5569999999998"/>
    <m/>
  </r>
  <r>
    <x v="17"/>
    <x v="284"/>
    <n v="7551.7650000000003"/>
    <n v="7894.6350000000002"/>
    <n v="15701.47"/>
    <n v="7283.6769999999997"/>
    <m/>
  </r>
  <r>
    <x v="17"/>
    <x v="285"/>
    <n v="7416.8850000000002"/>
    <n v="7662.915"/>
    <n v="16112.24"/>
    <n v="7111.8969999999999"/>
    <m/>
  </r>
  <r>
    <x v="17"/>
    <x v="286"/>
    <n v="7220.97"/>
    <n v="7468.88"/>
    <n v="15177.86"/>
    <n v="6865.8469999999998"/>
    <m/>
  </r>
  <r>
    <x v="17"/>
    <x v="287"/>
    <n v="7220.97"/>
    <n v="7468.88"/>
    <n v="15009.7"/>
    <n v="6865.8469999999998"/>
    <m/>
  </r>
  <r>
    <x v="17"/>
    <x v="288"/>
    <n v="7464"/>
    <n v="7640.9"/>
    <n v="14940.64"/>
    <n v="6933.7969999999996"/>
    <m/>
  </r>
  <r>
    <x v="17"/>
    <x v="289"/>
    <n v="7395.92"/>
    <n v="7713.16"/>
    <n v="14774.89"/>
    <n v="7106.018"/>
    <m/>
  </r>
  <r>
    <x v="17"/>
    <x v="290"/>
    <n v="7427.99"/>
    <n v="7803.61"/>
    <n v="15164.64"/>
    <n v="7111.598"/>
    <m/>
  </r>
  <r>
    <x v="17"/>
    <x v="291"/>
    <n v="7431.4250000000002"/>
    <n v="7351.7950000000001"/>
    <n v="15225.83"/>
    <n v="6967.3680000000004"/>
    <m/>
  </r>
  <r>
    <x v="17"/>
    <x v="292"/>
    <n v="7383.5249999999996"/>
    <n v="7337.2849999999999"/>
    <n v="15105.13"/>
    <n v="6966.4880000000003"/>
    <m/>
  </r>
  <r>
    <x v="17"/>
    <x v="293"/>
    <n v="7548.1850000000004"/>
    <n v="7502.3850000000002"/>
    <n v="15367.79"/>
    <n v="7038.4780000000001"/>
    <m/>
  </r>
  <r>
    <x v="17"/>
    <x v="294"/>
    <n v="7517.6949999999997"/>
    <n v="7320.5150000000003"/>
    <n v="15428.43"/>
    <n v="7119.8779999999997"/>
    <m/>
  </r>
  <r>
    <x v="18"/>
    <x v="295"/>
    <n v="6942.3450000000003"/>
    <n v="7153.4750000000004"/>
    <n v="15066.36"/>
    <n v="6865.6379999999999"/>
    <m/>
  </r>
  <r>
    <x v="18"/>
    <x v="296"/>
    <n v="6984.3050000000003"/>
    <n v="7153.4750000000004"/>
    <n v="15040.81"/>
    <n v="6865.6379999999999"/>
    <m/>
  </r>
  <r>
    <x v="18"/>
    <x v="297"/>
    <n v="6851.7650000000003"/>
    <n v="7435.3050000000003"/>
    <n v="15221.68"/>
    <n v="7061.5280000000002"/>
    <m/>
  </r>
  <r>
    <x v="18"/>
    <x v="298"/>
    <n v="6732.8549999999996"/>
    <n v="7323.0349999999999"/>
    <n v="15204.32"/>
    <n v="6632.6980000000003"/>
    <m/>
  </r>
  <r>
    <x v="18"/>
    <x v="299"/>
    <n v="6414.8050000000003"/>
    <n v="7298.1850000000004"/>
    <n v="15372.69"/>
    <n v="6789.2879999999996"/>
    <m/>
  </r>
  <r>
    <x v="18"/>
    <x v="300"/>
    <n v="6414.4049999999997"/>
    <n v="7295.4049999999997"/>
    <n v="15170.37"/>
    <n v="6789.2879999999996"/>
    <m/>
  </r>
  <r>
    <x v="18"/>
    <x v="301"/>
    <n v="6412.4049999999997"/>
    <n v="7485.9049999999997"/>
    <n v="15572.72"/>
    <n v="7047.9380000000001"/>
    <m/>
  </r>
  <r>
    <x v="18"/>
    <x v="302"/>
    <n v="6316.7650000000003"/>
    <n v="7424.8850000000002"/>
    <n v="15457.05"/>
    <n v="7126.808"/>
    <m/>
  </r>
  <r>
    <x v="18"/>
    <x v="303"/>
    <n v="6208.5050000000001"/>
    <n v="7520.5450000000001"/>
    <n v="15371.23"/>
    <n v="7065.6080000000002"/>
    <m/>
  </r>
  <r>
    <x v="18"/>
    <x v="304"/>
    <n v="5824.31"/>
    <n v="7768.58"/>
    <n v="15360.45"/>
    <n v="7577.5879999999997"/>
    <m/>
  </r>
  <r>
    <x v="18"/>
    <x v="305"/>
    <n v="5824.31"/>
    <n v="7768.58"/>
    <n v="15305.23"/>
    <n v="7577.5879999999997"/>
    <m/>
  </r>
  <r>
    <x v="18"/>
    <x v="306"/>
    <n v="5833.59"/>
    <n v="8009.14"/>
    <n v="15679.69"/>
    <n v="7748.9179999999997"/>
    <m/>
  </r>
  <r>
    <x v="18"/>
    <x v="307"/>
    <n v="5908.32"/>
    <n v="7952.5"/>
    <n v="16324.47"/>
    <n v="7742.4480000000003"/>
    <m/>
  </r>
  <r>
    <x v="18"/>
    <x v="308"/>
    <n v="5993.56"/>
    <n v="7955.91"/>
    <n v="16711.61"/>
    <n v="7646.84"/>
    <m/>
  </r>
  <r>
    <x v="18"/>
    <x v="309"/>
    <n v="6170.5050000000001"/>
    <n v="7894.2849999999999"/>
    <n v="17198.490000000002"/>
    <n v="7546.65"/>
    <m/>
  </r>
  <r>
    <x v="18"/>
    <x v="310"/>
    <n v="6148.9449999999997"/>
    <n v="7894.2849999999999"/>
    <n v="17150.439999999999"/>
    <n v="7546.65"/>
    <m/>
  </r>
  <r>
    <x v="18"/>
    <x v="311"/>
    <n v="6234.0450000000001"/>
    <n v="8023.8649999999998"/>
    <n v="17386.07"/>
    <n v="7631.53"/>
    <m/>
  </r>
  <r>
    <x v="18"/>
    <x v="312"/>
    <n v="6163.915"/>
    <n v="7932.1350000000002"/>
    <n v="17369.060000000001"/>
    <n v="7652.29"/>
    <m/>
  </r>
  <r>
    <x v="19"/>
    <x v="313"/>
    <n v="5731.9949999999999"/>
    <n v="7808.9949999999999"/>
    <n v="17032.169999999998"/>
    <n v="7450.96"/>
    <m/>
  </r>
  <r>
    <x v="19"/>
    <x v="314"/>
    <n v="5732.0649999999996"/>
    <n v="7808.9949999999999"/>
    <n v="16861"/>
    <n v="7442.04"/>
    <m/>
  </r>
  <r>
    <x v="19"/>
    <x v="315"/>
    <n v="5899.7449999999999"/>
    <n v="7995.165"/>
    <n v="16387.62"/>
    <n v="7655.31"/>
    <m/>
  </r>
  <r>
    <x v="19"/>
    <x v="316"/>
    <n v="5904.2049999999999"/>
    <n v="8172.165"/>
    <n v="16257.71"/>
    <n v="7659.4610000000002"/>
    <m/>
  </r>
  <r>
    <x v="19"/>
    <x v="317"/>
    <n v="5943.9949999999999"/>
    <n v="8444.2950000000001"/>
    <n v="16177.82"/>
    <n v="7619.0309999999999"/>
    <m/>
  </r>
  <r>
    <x v="19"/>
    <x v="318"/>
    <n v="5991.7"/>
    <n v="8797.07"/>
    <n v="16620.150000000001"/>
    <n v="7428.1909999999998"/>
    <m/>
  </r>
  <r>
    <x v="19"/>
    <x v="319"/>
    <n v="6030.97"/>
    <n v="8797.07"/>
    <n v="16534.04"/>
    <n v="7405.2110000000002"/>
    <m/>
  </r>
  <r>
    <x v="19"/>
    <x v="320"/>
    <n v="6315.97"/>
    <n v="9197.24"/>
    <n v="16982.79"/>
    <n v="7720.7610000000004"/>
    <m/>
  </r>
  <r>
    <x v="19"/>
    <x v="321"/>
    <n v="6417.79"/>
    <n v="9299.67"/>
    <n v="16892.72"/>
    <n v="7509.3010000000004"/>
    <m/>
  </r>
  <r>
    <x v="19"/>
    <x v="322"/>
    <n v="6326.58"/>
    <n v="9376.01"/>
    <n v="16948.95"/>
    <n v="7441.5681999999997"/>
    <m/>
  </r>
  <r>
    <x v="19"/>
    <x v="323"/>
    <n v="6104.11"/>
    <n v="9197.58"/>
    <n v="17244.330000000002"/>
    <n v="7271.4701999999997"/>
    <m/>
  </r>
  <r>
    <x v="19"/>
    <x v="324"/>
    <n v="6059.53"/>
    <n v="9197.58"/>
    <n v="17192.79"/>
    <n v="8063.5601999999999"/>
    <m/>
  </r>
  <r>
    <x v="19"/>
    <x v="325"/>
    <n v="6111.5"/>
    <n v="9501.11"/>
    <n v="17740.849999999999"/>
    <n v="8006.7701999999999"/>
    <m/>
  </r>
  <r>
    <x v="19"/>
    <x v="326"/>
    <n v="6074.86"/>
    <n v="9685.23"/>
    <n v="17687.64"/>
    <n v="8108.2902000000004"/>
    <m/>
  </r>
  <r>
    <x v="19"/>
    <x v="327"/>
    <n v="6200.85"/>
    <n v="9710.32"/>
    <n v="17769.509999999998"/>
    <n v="8114.9002"/>
    <m/>
  </r>
  <r>
    <x v="19"/>
    <x v="328"/>
    <n v="5959.75"/>
    <n v="9778.6299999999992"/>
    <n v="17667.77"/>
    <n v="7488.5601999999999"/>
    <m/>
  </r>
  <r>
    <x v="19"/>
    <x v="329"/>
    <n v="5961.3"/>
    <n v="9512.6299999999992"/>
    <n v="17544.150000000001"/>
    <n v="7483.9402"/>
    <m/>
  </r>
  <r>
    <x v="19"/>
    <x v="330"/>
    <n v="5942.64"/>
    <n v="9692.5499999999993"/>
    <n v="17645.75"/>
    <n v="7620.7402000000002"/>
    <m/>
  </r>
  <r>
    <x v="19"/>
    <x v="331"/>
    <n v="5822.74"/>
    <n v="9733.68"/>
    <n v="17666.259999999998"/>
    <n v="7368.1502"/>
    <m/>
  </r>
  <r>
    <x v="19"/>
    <x v="332"/>
    <n v="5799.66"/>
    <n v="9739.18"/>
    <n v="17912.8"/>
    <n v="7658.1502"/>
    <m/>
  </r>
  <r>
    <x v="19"/>
    <x v="333"/>
    <n v="6014.78"/>
    <n v="9876.7800000000007"/>
    <n v="18586.46"/>
    <n v="7438.3522000000003"/>
    <m/>
  </r>
  <r>
    <x v="19"/>
    <x v="334"/>
    <n v="6188.63"/>
    <n v="9876.7800000000007"/>
    <n v="18345.23"/>
    <n v="7438.3522000000003"/>
    <m/>
  </r>
  <r>
    <x v="19"/>
    <x v="335"/>
    <n v="6388.64"/>
    <n v="10038.719999999999"/>
    <n v="18155.79"/>
    <n v="7600.3522000000003"/>
    <m/>
  </r>
  <r>
    <x v="20"/>
    <x v="336"/>
    <n v="6532.79"/>
    <n v="10010.540000000001"/>
    <n v="17874.78"/>
    <n v="7413.0222000000003"/>
    <m/>
  </r>
  <r>
    <x v="20"/>
    <x v="337"/>
    <n v="6959.27"/>
    <n v="9851.2000000000007"/>
    <n v="17739.04"/>
    <n v="7212.0222000000003"/>
    <m/>
  </r>
  <r>
    <x v="20"/>
    <x v="338"/>
    <n v="6612.3450000000003"/>
    <n v="10102.105"/>
    <n v="17290.98"/>
    <n v="6990.2622000000001"/>
    <m/>
  </r>
  <r>
    <x v="20"/>
    <x v="339"/>
    <n v="6669.1149999999998"/>
    <n v="10097.985000000001"/>
    <n v="17077.509999999998"/>
    <n v="6934.9921999999997"/>
    <m/>
  </r>
  <r>
    <x v="20"/>
    <x v="340"/>
    <n v="6604.8850000000002"/>
    <n v="10195.844999999999"/>
    <n v="17297.27"/>
    <n v="7003.0922"/>
    <m/>
  </r>
  <r>
    <x v="20"/>
    <x v="341"/>
    <n v="6558.2650000000003"/>
    <n v="10133.405000000001"/>
    <n v="16916.939999999999"/>
    <n v="6908.2421999999997"/>
    <m/>
  </r>
  <r>
    <x v="20"/>
    <x v="342"/>
    <n v="6688.5249999999996"/>
    <n v="10156.455"/>
    <n v="16447.849999999999"/>
    <n v="6901.4422000000004"/>
    <m/>
  </r>
  <r>
    <x v="20"/>
    <x v="343"/>
    <n v="6476.89"/>
    <n v="10013.290000000001"/>
    <n v="15911.43"/>
    <n v="7429.7322000000004"/>
    <m/>
  </r>
  <r>
    <x v="20"/>
    <x v="344"/>
    <n v="6476.89"/>
    <n v="10013.290000000001"/>
    <n v="15911.29"/>
    <n v="7429.7322000000004"/>
    <m/>
  </r>
  <r>
    <x v="20"/>
    <x v="345"/>
    <n v="6329.55"/>
    <n v="10290"/>
    <n v="15992.99"/>
    <n v="7723.7821999999996"/>
    <m/>
  </r>
  <r>
    <x v="20"/>
    <x v="346"/>
    <n v="5923.31"/>
    <n v="10290"/>
    <n v="15947.09"/>
    <n v="7723.7821999999996"/>
    <m/>
  </r>
  <r>
    <x v="20"/>
    <x v="347"/>
    <n v="5579.69"/>
    <n v="10385.93"/>
    <n v="16195.61"/>
    <n v="7819.6522000000004"/>
    <m/>
  </r>
  <r>
    <x v="20"/>
    <x v="348"/>
    <n v="5332.41"/>
    <n v="10491.98"/>
    <n v="16324.61"/>
    <n v="7593.0821999999998"/>
    <m/>
  </r>
  <r>
    <x v="20"/>
    <x v="349"/>
    <n v="5260.36"/>
    <n v="10484.009999999998"/>
    <n v="16619.21"/>
    <n v="7784.8231999999998"/>
    <m/>
  </r>
  <r>
    <x v="20"/>
    <x v="350"/>
    <n v="5704.5349999999999"/>
    <n v="9935.8049999999985"/>
    <n v="17109.3"/>
    <n v="7542.4132"/>
    <m/>
  </r>
  <r>
    <x v="20"/>
    <x v="351"/>
    <n v="5569.375"/>
    <n v="9935.8049999999985"/>
    <n v="17457.509999999998"/>
    <n v="7543.8332"/>
    <m/>
  </r>
  <r>
    <x v="20"/>
    <x v="352"/>
    <n v="5625.4650000000001"/>
    <n v="10084.484999999999"/>
    <n v="17453.099999999999"/>
    <n v="7417.3532000000005"/>
    <m/>
  </r>
  <r>
    <x v="20"/>
    <x v="353"/>
    <n v="5512.1449999999995"/>
    <n v="9966.3049999999985"/>
    <n v="17643.599999999999"/>
    <n v="7287.9932000000008"/>
    <m/>
  </r>
  <r>
    <x v="21"/>
    <x v="354"/>
    <n v="5715.9749999999995"/>
    <n v="9705.244999999999"/>
    <n v="17576.259999999998"/>
    <n v="6905.4400000000005"/>
    <m/>
  </r>
  <r>
    <x v="21"/>
    <x v="355"/>
    <n v="5800.2649999999994"/>
    <n v="9705.244999999999"/>
    <n v="17530.009999999998"/>
    <n v="6905.4432000000006"/>
    <m/>
  </r>
  <r>
    <x v="21"/>
    <x v="356"/>
    <n v="5494.0249999999996"/>
    <n v="9764.0549999999985"/>
    <n v="17993.95"/>
    <n v="6982.5432000000001"/>
    <m/>
  </r>
  <r>
    <x v="21"/>
    <x v="357"/>
    <n v="5626.8249999999998"/>
    <n v="9790.8249999999989"/>
    <n v="18188.34"/>
    <n v="7096.4332000000004"/>
    <m/>
  </r>
  <r>
    <x v="21"/>
    <x v="358"/>
    <n v="5739.5450000000001"/>
    <n v="9652.5549999999985"/>
    <n v="18476.18"/>
    <n v="7000.7932000000001"/>
    <m/>
  </r>
  <r>
    <x v="21"/>
    <x v="359"/>
    <n v="5918.4449999999997"/>
    <n v="8962.125"/>
    <n v="18664.400000000001"/>
    <n v="6730.6451999999999"/>
    <m/>
  </r>
  <r>
    <x v="21"/>
    <x v="360"/>
    <n v="5894.8649999999998"/>
    <n v="8952.2749999999996"/>
    <n v="18272.7"/>
    <n v="6728.9952000000003"/>
    <m/>
  </r>
  <r>
    <x v="21"/>
    <x v="361"/>
    <n v="5776.585"/>
    <n v="9138.0349999999999"/>
    <n v="18626.099999999999"/>
    <n v="6809.0652"/>
    <m/>
  </r>
  <r>
    <x v="21"/>
    <x v="362"/>
    <n v="5875.3850000000002"/>
    <n v="9146.3049999999985"/>
    <n v="18806.11"/>
    <n v="6927.9252000000006"/>
    <m/>
  </r>
  <r>
    <x v="21"/>
    <x v="363"/>
    <n v="6020.8249999999998"/>
    <n v="9237.5149999999994"/>
    <n v="18718.22"/>
    <n v="6831.2952000000005"/>
    <m/>
  </r>
  <r>
    <x v="21"/>
    <x v="364"/>
    <n v="6478.0199999999995"/>
    <n v="9288.0199999999986"/>
    <n v="18211.59"/>
    <n v="6939.4161999999997"/>
    <m/>
  </r>
  <r>
    <x v="21"/>
    <x v="365"/>
    <n v="6478.0199999999995"/>
    <n v="9288.0199999999986"/>
    <n v="17928.36"/>
    <n v="6939.4161999999997"/>
    <m/>
  </r>
  <r>
    <x v="21"/>
    <x v="366"/>
    <n v="6365.51"/>
    <n v="9383.3499999999985"/>
    <n v="18341.759999999998"/>
    <n v="6995.7961999999998"/>
    <m/>
  </r>
  <r>
    <x v="21"/>
    <x v="367"/>
    <n v="6382.57"/>
    <n v="9371.59"/>
    <n v="18062.46"/>
    <n v="7231.2362000000003"/>
    <m/>
  </r>
  <r>
    <x v="21"/>
    <x v="368"/>
    <n v="6545.44"/>
    <n v="9354.92"/>
    <n v="17791.62"/>
    <n v="7310.2861999999996"/>
    <m/>
  </r>
  <r>
    <x v="21"/>
    <x v="369"/>
    <n v="6730.8450000000003"/>
    <n v="9203.9049999999988"/>
    <n v="18070.96"/>
    <n v="7607.1032000000005"/>
    <m/>
  </r>
  <r>
    <x v="21"/>
    <x v="370"/>
    <n v="6739.9645"/>
    <n v="9279.1593999999968"/>
    <n v="17851.523000000001"/>
    <n v="7936.11"/>
    <m/>
  </r>
  <r>
    <x v="21"/>
    <x v="371"/>
    <n v="6666.2191000000012"/>
    <n v="8939.8293999999969"/>
    <n v="17271.619500000004"/>
    <n v="7973.454999999999"/>
    <m/>
  </r>
  <r>
    <x v="21"/>
    <x v="372"/>
    <n v="7588.1158000000014"/>
    <n v="8978.8536000000022"/>
    <n v="17620.593400000002"/>
    <n v="8107.1319999999987"/>
    <m/>
  </r>
  <r>
    <x v="22"/>
    <x v="373"/>
    <n v="7850.4932000000017"/>
    <n v="9309.6106999999993"/>
    <n v="17952.159199999998"/>
    <n v="8095.5250000000005"/>
    <m/>
  </r>
  <r>
    <x v="22"/>
    <x v="374"/>
    <n v="7989.647100000002"/>
    <n v="9463.6947999999993"/>
    <n v="18259.794399999999"/>
    <n v="8001.8470000000007"/>
    <m/>
  </r>
  <r>
    <x v="22"/>
    <x v="375"/>
    <n v="7980.232500000001"/>
    <n v="9552.9889000000021"/>
    <n v="18350.175300000003"/>
    <n v="8066.8770000000004"/>
    <m/>
  </r>
  <r>
    <x v="22"/>
    <x v="376"/>
    <n v="8115.7653000000009"/>
    <n v="9855.6967999999997"/>
    <n v="18534.209000000003"/>
    <n v="7954.2759999999998"/>
    <m/>
  </r>
  <r>
    <x v="22"/>
    <x v="377"/>
    <n v="7931.9880999999996"/>
    <n v="9834.6804000000011"/>
    <n v="18657.955600000005"/>
    <n v="7950.1289999999999"/>
    <m/>
  </r>
  <r>
    <x v="22"/>
    <x v="378"/>
    <n v="7866.0278999999991"/>
    <n v="9662.5083999999988"/>
    <n v="18533.292600000001"/>
    <n v="7878.0240000000003"/>
    <m/>
  </r>
  <r>
    <x v="22"/>
    <x v="379"/>
    <n v="7869.1760999999988"/>
    <n v="9744.0672999999988"/>
    <n v="18673.196199999998"/>
    <n v="7893.3040000000001"/>
    <m/>
  </r>
  <r>
    <x v="22"/>
    <x v="380"/>
    <n v="7933.8887000000004"/>
    <n v="9811.7062999999998"/>
    <n v="18525.821599999999"/>
    <n v="7995.11"/>
    <m/>
  </r>
  <r>
    <x v="22"/>
    <x v="381"/>
    <n v="8151.1785"/>
    <n v="9733.2892999999967"/>
    <n v="18498.341099999998"/>
    <n v="8157.4509999999991"/>
    <m/>
  </r>
  <r>
    <x v="22"/>
    <x v="382"/>
    <n v="8198.4057000000012"/>
    <n v="9664.8064000000013"/>
    <n v="18765.667400000002"/>
    <n v="8039.8289999999997"/>
    <m/>
  </r>
  <r>
    <x v="22"/>
    <x v="383"/>
    <n v="8626.0802000000003"/>
    <n v="9344.4488999999994"/>
    <n v="18853.097000000005"/>
    <n v="7648.4859999999999"/>
    <m/>
  </r>
  <r>
    <x v="22"/>
    <x v="384"/>
    <n v="8502.6291000000001"/>
    <n v="9557.3628999999983"/>
    <n v="19022.881900000004"/>
    <n v="7722.9690000000001"/>
    <m/>
  </r>
  <r>
    <x v="22"/>
    <x v="385"/>
    <n v="8532.9991000000009"/>
    <n v="9527.4107999999997"/>
    <n v="19214.633800000003"/>
    <n v="7780.3969999999999"/>
    <m/>
  </r>
  <r>
    <x v="22"/>
    <x v="386"/>
    <n v="8574.802499999998"/>
    <n v="9643.9287999999979"/>
    <n v="19364.540399999994"/>
    <n v="8177.5649999999996"/>
    <m/>
  </r>
  <r>
    <x v="22"/>
    <x v="387"/>
    <n v="8634.3262999999988"/>
    <n v="9829.4649000000009"/>
    <n v="19366.871800000001"/>
    <n v="8438.4069999999992"/>
    <m/>
  </r>
  <r>
    <x v="22"/>
    <x v="388"/>
    <n v="8918.0612000000001"/>
    <n v="9535.6278999999995"/>
    <n v="19047.1469"/>
    <n v="8320.9480000000003"/>
    <m/>
  </r>
  <r>
    <x v="22"/>
    <x v="389"/>
    <n v="8841.9038"/>
    <n v="9699.8848999999973"/>
    <n v="19342.205700000002"/>
    <n v="8392"/>
    <m/>
  </r>
  <r>
    <x v="22"/>
    <x v="390"/>
    <n v="8911.7068999999992"/>
    <n v="9661.4498000000003"/>
    <n v="19456.211200000005"/>
    <n v="8400.7654999999995"/>
    <m/>
  </r>
  <r>
    <x v="22"/>
    <x v="391"/>
    <n v="8735.1530000000021"/>
    <n v="9383.5158999999985"/>
    <n v="19286.8102"/>
    <n v="8187.0985000000001"/>
    <m/>
  </r>
  <r>
    <x v="22"/>
    <x v="392"/>
    <n v="8791.1887999999999"/>
    <n v="9296.8639000000003"/>
    <n v="19134.834399999996"/>
    <n v="8076.7214999999997"/>
    <m/>
  </r>
  <r>
    <x v="22"/>
    <x v="393"/>
    <n v="8681.7502000000004"/>
    <n v="9460.3168999999998"/>
    <n v="19273.908300000003"/>
    <n v="8155.3774999999996"/>
    <m/>
  </r>
  <r>
    <x v="22"/>
    <x v="394"/>
    <n v="8766.7731999999996"/>
    <n v="9521.7468999999983"/>
    <n v="19623.7608"/>
    <n v="8500.9580000000005"/>
    <m/>
  </r>
  <r>
    <x v="23"/>
    <x v="395"/>
    <n v="8740.3624"/>
    <n v="9492.3979000000018"/>
    <n v="20007.558100000002"/>
    <n v="8453.3719999999994"/>
    <m/>
  </r>
  <r>
    <x v="23"/>
    <x v="396"/>
    <n v="8309.2520000000004"/>
    <n v="9623.2689000000009"/>
    <n v="20093.164900000003"/>
    <n v="8305.3430000000008"/>
    <m/>
  </r>
  <r>
    <x v="23"/>
    <x v="397"/>
    <n v="8349.5617000000002"/>
    <n v="9659.7817999999988"/>
    <n v="19891.375500000006"/>
    <n v="8327.3549999999996"/>
    <m/>
  </r>
  <r>
    <x v="23"/>
    <x v="398"/>
    <n v="8329.7824999999993"/>
    <n v="9878.6969000000008"/>
    <n v="20094.024400000006"/>
    <n v="8360.6229999999996"/>
    <m/>
  </r>
  <r>
    <x v="23"/>
    <x v="399"/>
    <n v="8368.8696999999993"/>
    <n v="9920.4578000000001"/>
    <n v="20056.593499999999"/>
    <n v="8230.9920000000002"/>
    <m/>
  </r>
  <r>
    <x v="23"/>
    <x v="400"/>
    <n v="8501.5293999999994"/>
    <n v="9925.8359999999993"/>
    <n v="20346.328500000007"/>
    <n v="8178.9039999999995"/>
    <m/>
  </r>
  <r>
    <x v="23"/>
    <x v="401"/>
    <n v="8403.1111999999994"/>
    <n v="9996.0820000000003"/>
    <n v="20583.405599999998"/>
    <n v="8122.5540000000001"/>
    <m/>
  </r>
  <r>
    <x v="23"/>
    <x v="402"/>
    <n v="8533.1997000000028"/>
    <n v="9888.2546999999977"/>
    <n v="19868.872199999998"/>
    <n v="7852.7849999999999"/>
    <m/>
  </r>
  <r>
    <x v="23"/>
    <x v="403"/>
    <n v="8388.9114000000009"/>
    <n v="10038.370799999999"/>
    <n v="20063.8033"/>
    <n v="7991.1760000000004"/>
    <m/>
  </r>
  <r>
    <x v="23"/>
    <x v="404"/>
    <n v="8497.5000000000018"/>
    <n v="10072.143099999999"/>
    <n v="20118.201900000004"/>
    <n v="8139.6382999999996"/>
    <m/>
  </r>
  <r>
    <x v="23"/>
    <x v="405"/>
    <n v="8481.946100000001"/>
    <n v="9854.4521000000022"/>
    <n v="22683.996399999996"/>
    <n v="7734.1689999999999"/>
    <m/>
  </r>
  <r>
    <x v="23"/>
    <x v="406"/>
    <n v="8470.3525999999983"/>
    <n v="9995.7470999999987"/>
    <n v="19938.719700000005"/>
    <n v="7912.299"/>
    <m/>
  </r>
  <r>
    <x v="23"/>
    <x v="407"/>
    <n v="8337.0241000000024"/>
    <n v="9882.4145999999982"/>
    <n v="19816.2379"/>
    <n v="7565.2809999999999"/>
    <m/>
  </r>
  <r>
    <x v="23"/>
    <x v="408"/>
    <n v="8195.9989999999998"/>
    <n v="10110.9476"/>
    <n v="20072.351000000006"/>
    <n v="7652.4679999999998"/>
    <m/>
  </r>
  <r>
    <x v="23"/>
    <x v="409"/>
    <n v="8386.2100000000028"/>
    <n v="10172.614599999999"/>
    <n v="20063.535400000001"/>
    <n v="7542.009"/>
    <m/>
  </r>
  <r>
    <x v="23"/>
    <x v="410"/>
    <n v="8616.0204000000012"/>
    <n v="9904.6908999999996"/>
    <n v="19768.527500000004"/>
    <n v="7383.1989999999996"/>
    <m/>
  </r>
  <r>
    <x v="23"/>
    <x v="411"/>
    <n v="8331.4097000000002"/>
    <n v="9770.3598999999977"/>
    <n v="19876"/>
    <n v="7432.29"/>
    <m/>
  </r>
  <r>
    <x v="23"/>
    <x v="412"/>
    <n v="8115.5706"/>
    <n v="9816.3209000000006"/>
    <n v="19953"/>
    <n v="7507.1670000000004"/>
    <m/>
  </r>
  <r>
    <x v="23"/>
    <x v="413"/>
    <n v="8086.8652000000002"/>
    <n v="9742.0659999999971"/>
    <n v="20131.639400000004"/>
    <n v="7598.5829999999996"/>
    <m/>
  </r>
  <r>
    <x v="23"/>
    <x v="414"/>
    <n v="7941.4096000000009"/>
    <n v="9726.2994000000017"/>
    <n v="20022.752799999998"/>
    <n v="7514.0439999999999"/>
    <m/>
  </r>
  <r>
    <x v="23"/>
    <x v="415"/>
    <n v="7796.3578999999982"/>
    <n v="9639.0703000000012"/>
    <n v="20307.580100000003"/>
    <n v="7379.5820000000003"/>
    <m/>
  </r>
  <r>
    <x v="24"/>
    <x v="416"/>
    <n v="7635.7039000000004"/>
    <n v="9272.4282000000003"/>
    <n v="19776.806999999997"/>
    <n v="7486.1840000000002"/>
    <m/>
  </r>
  <r>
    <x v="24"/>
    <x v="417"/>
    <n v="7569.6697999999988"/>
    <n v="9504.5150999999987"/>
    <n v="19894.0772"/>
    <n v="7580.1940000000004"/>
    <m/>
  </r>
  <r>
    <x v="24"/>
    <x v="418"/>
    <n v="7551.5038999999988"/>
    <n v="9593.1502"/>
    <n v="19920.552300000003"/>
    <n v="7560.0334999999995"/>
    <m/>
  </r>
  <r>
    <x v="24"/>
    <x v="419"/>
    <n v="7534.3219000000008"/>
    <n v="9638.7482"/>
    <n v="19793.452999999998"/>
    <n v="7329.3029999999999"/>
    <m/>
  </r>
  <r>
    <x v="24"/>
    <x v="420"/>
    <n v="7480.3026"/>
    <n v="9738.2753000000012"/>
    <n v="19752.475900000001"/>
    <n v="7329.3029999999999"/>
    <m/>
  </r>
  <r>
    <x v="24"/>
    <x v="421"/>
    <n v="7654.5534000000016"/>
    <n v="9565.4919999999984"/>
    <n v="19431.129099999995"/>
    <n v="7023.2794999999996"/>
    <m/>
  </r>
  <r>
    <x v="24"/>
    <x v="422"/>
    <n v="7524.7337999999982"/>
    <n v="9612.6865999999991"/>
    <n v="19440.811099999995"/>
    <n v="7192.4264999999996"/>
    <m/>
  </r>
  <r>
    <x v="24"/>
    <x v="423"/>
    <n v="7851"/>
    <n v="9590"/>
    <n v="18587"/>
    <n v="7562"/>
    <m/>
  </r>
  <r>
    <x v="24"/>
    <x v="424"/>
    <n v="7903"/>
    <n v="9705"/>
    <n v="18597"/>
    <n v="7317"/>
    <m/>
  </r>
  <r>
    <x v="24"/>
    <x v="425"/>
    <n v="8409.1695999999993"/>
    <n v="9619.827299999999"/>
    <n v="18272.235099999994"/>
    <n v="6973.4430000000002"/>
    <m/>
  </r>
  <r>
    <x v="24"/>
    <x v="426"/>
    <n v="8457.6740000000009"/>
    <n v="9773.2410999999975"/>
    <n v="18417.446199999995"/>
    <n v="6811.4641999999994"/>
    <m/>
  </r>
  <r>
    <x v="24"/>
    <x v="427"/>
    <n v="8745.9681"/>
    <n v="9640.2830999999987"/>
    <n v="18634.083299999998"/>
    <n v="6880.652"/>
    <m/>
  </r>
  <r>
    <x v="24"/>
    <x v="428"/>
    <n v="8636.1430000000018"/>
    <n v="9644.6479999999992"/>
    <n v="18173.824499999999"/>
    <n v="7015.3280000000004"/>
    <m/>
  </r>
  <r>
    <x v="24"/>
    <x v="429"/>
    <n v="8980.5917999999983"/>
    <n v="9591.7775000000001"/>
    <n v="17984.217700000001"/>
    <n v="7013.8609999999999"/>
    <m/>
  </r>
  <r>
    <x v="24"/>
    <x v="430"/>
    <n v="9170.1368999999995"/>
    <n v="9217.2245000000021"/>
    <n v="17322.057100000005"/>
    <n v="6909.7629999999999"/>
    <m/>
  </r>
  <r>
    <x v="24"/>
    <x v="431"/>
    <n v="9091.4836999999989"/>
    <n v="9386.1964999999982"/>
    <n v="17555.876799999998"/>
    <n v="6965.8450000000003"/>
    <m/>
  </r>
  <r>
    <x v="24"/>
    <x v="432"/>
    <n v="9331.3715999999968"/>
    <n v="9355.9555000000018"/>
    <n v="17389.9375"/>
    <n v="6943.5360000000001"/>
    <m/>
  </r>
  <r>
    <x v="24"/>
    <x v="433"/>
    <n v="9445.9521999999979"/>
    <n v="9452.8444999999992"/>
    <n v="16907.666699999998"/>
    <n v="6902.7579999999998"/>
    <m/>
  </r>
  <r>
    <x v="24"/>
    <x v="434"/>
    <n v="9314.9054000000015"/>
    <n v="9416.7068999999992"/>
    <n v="17167.5962"/>
    <n v="6768.86"/>
    <m/>
  </r>
  <r>
    <x v="24"/>
    <x v="435"/>
    <n v="9204.5152999999991"/>
    <n v="8924.1458999999995"/>
    <n v="16929.964199999999"/>
    <n v="6837.9930000000004"/>
    <m/>
  </r>
  <r>
    <x v="24"/>
    <x v="436"/>
    <n v="9055.8719999999994"/>
    <n v="9078.4128999999994"/>
    <n v="16268"/>
    <n v="6918.9189999999999"/>
    <m/>
  </r>
  <r>
    <x v="25"/>
    <x v="437"/>
    <n v="8963.2637000000013"/>
    <n v="8964.9208999999992"/>
    <n v="16115"/>
    <n v="6897.0810000000001"/>
    <m/>
  </r>
  <r>
    <x v="25"/>
    <x v="438"/>
    <n v="8859.8646999999983"/>
    <n v="9072.0398999999998"/>
    <n v="16220"/>
    <n v="6953.299"/>
    <m/>
  </r>
  <r>
    <x v="25"/>
    <x v="439"/>
    <n v="8449.2787000000008"/>
    <n v="8785.1257999999998"/>
    <n v="15889"/>
    <n v="6465.56"/>
    <m/>
  </r>
  <r>
    <x v="25"/>
    <x v="440"/>
    <n v="8519.4992999999995"/>
    <n v="8915.5227999999988"/>
    <n v="15974"/>
    <n v="6559.4219999999996"/>
    <m/>
  </r>
  <r>
    <x v="25"/>
    <x v="441"/>
    <n v="8649.3798999999999"/>
    <n v="9002.0288"/>
    <n v="15872"/>
    <n v="6548.0829999999996"/>
    <m/>
  </r>
  <r>
    <x v="25"/>
    <x v="442"/>
    <n v="8389.8615000000027"/>
    <n v="9083.7757999999994"/>
    <n v="15880"/>
    <n v="6660.741"/>
    <m/>
  </r>
  <r>
    <x v="25"/>
    <x v="443"/>
    <n v="8424.1649999999991"/>
    <n v="9290.6787999999997"/>
    <n v="16075"/>
    <n v="6539.7110000000002"/>
    <m/>
  </r>
  <r>
    <x v="25"/>
    <x v="444"/>
    <n v="8622.4909999999982"/>
    <n v="9340.8507999999983"/>
    <n v="16392"/>
    <n v="6319.8220000000001"/>
    <m/>
  </r>
  <r>
    <x v="25"/>
    <x v="445"/>
    <n v="8457.5336999999981"/>
    <n v="9478.4188000000013"/>
    <n v="16705"/>
    <n v="6487.8959999999997"/>
    <m/>
  </r>
  <r>
    <x v="25"/>
    <x v="446"/>
    <n v="8710.1643999999997"/>
    <n v="9651.9177999999993"/>
    <n v="16920"/>
    <n v="6832.3789999999999"/>
    <m/>
  </r>
  <r>
    <x v="25"/>
    <x v="447"/>
    <n v="8561.7971999999991"/>
    <n v="9705.3768"/>
    <n v="16872"/>
    <n v="6791.2269999999999"/>
    <m/>
  </r>
  <r>
    <x v="25"/>
    <x v="448"/>
    <n v="8551.2837999999992"/>
    <n v="9769.8048999999992"/>
    <n v="16887"/>
    <n v="6819.6959999999999"/>
    <m/>
  </r>
  <r>
    <x v="25"/>
    <x v="449"/>
    <n v="8227.5663000000004"/>
    <n v="9468.1679000000004"/>
    <n v="16536"/>
    <n v="6709.5855000000001"/>
    <m/>
  </r>
  <r>
    <x v="25"/>
    <x v="450"/>
    <n v="8127.4345999999996"/>
    <n v="9772.9258999999984"/>
    <n v="16683"/>
    <n v="6840.9030000000002"/>
    <m/>
  </r>
  <r>
    <x v="25"/>
    <x v="451"/>
    <n v="8037.5163999999995"/>
    <n v="9919.4549000000006"/>
    <n v="16551"/>
    <n v="7021.9319999999998"/>
    <m/>
  </r>
  <r>
    <x v="25"/>
    <x v="452"/>
    <n v="8136.3928999999998"/>
    <n v="9901.0319"/>
    <n v="16912"/>
    <n v="7037.8739999999998"/>
    <m/>
  </r>
  <r>
    <x v="25"/>
    <x v="453"/>
    <n v="8827.2400000000016"/>
    <n v="9629.1318999999985"/>
    <n v="17261"/>
    <n v="7116.2039999999997"/>
    <m/>
  </r>
  <r>
    <x v="25"/>
    <x v="454"/>
    <n v="8990.6856999999964"/>
    <n v="9736.2440000000006"/>
    <n v="17328"/>
    <n v="7200.9449999999997"/>
    <m/>
  </r>
  <r>
    <x v="25"/>
    <x v="455"/>
    <n v="9248.0914999999986"/>
    <n v="9845.1530000000002"/>
    <n v="17209"/>
    <n v="7262.6379999999999"/>
    <m/>
  </r>
  <r>
    <x v="25"/>
    <x v="456"/>
    <n v="9062.6586000000007"/>
    <n v="9759.1669999999995"/>
    <n v="16673"/>
    <n v="7169.3230000000003"/>
    <m/>
  </r>
  <r>
    <x v="26"/>
    <x v="457"/>
    <n v="9046.9758000000002"/>
    <n v="9824.5909999999985"/>
    <n v="16649"/>
    <n v="7093.2420000000002"/>
    <m/>
  </r>
  <r>
    <x v="26"/>
    <x v="458"/>
    <n v="9424.2011999999995"/>
    <n v="9485.8355000000029"/>
    <n v="16849.642199999998"/>
    <n v="7011.4269999999997"/>
    <m/>
  </r>
  <r>
    <x v="26"/>
    <x v="459"/>
    <n v="9541.5373"/>
    <n v="9709.1034999999993"/>
    <n v="16941.685400000002"/>
    <n v="7161.5280000000002"/>
    <m/>
  </r>
  <r>
    <x v="26"/>
    <x v="460"/>
    <n v="9688.9485999999997"/>
    <n v="9764.5695000000032"/>
    <n v="16497.113099999999"/>
    <n v="7203.2860000000001"/>
    <m/>
  </r>
  <r>
    <x v="26"/>
    <x v="461"/>
    <n v="9579.9735999999975"/>
    <n v="9825.3414999999986"/>
    <n v="16425.5877"/>
    <n v="7003.5339999999997"/>
    <m/>
  </r>
  <r>
    <x v="26"/>
    <x v="462"/>
    <n v="9568.2486000000008"/>
    <n v="9916.5704999999998"/>
    <n v="16660.641000000003"/>
    <n v="7010.52"/>
    <m/>
  </r>
  <r>
    <x v="26"/>
    <x v="463"/>
    <n v="9697.0951999999997"/>
    <n v="9444.5737999999983"/>
    <n v="16603.7163"/>
    <n v="7141.576"/>
    <m/>
  </r>
  <r>
    <x v="26"/>
    <x v="464"/>
    <n v="9608.7691999999988"/>
    <n v="9627.3197999999993"/>
    <n v="16915.2755"/>
    <n v="7322.5020000000004"/>
    <m/>
  </r>
  <r>
    <x v="26"/>
    <x v="465"/>
    <n v="9564.7517000000007"/>
    <n v="9695.6987999999965"/>
    <n v="16844.626900000003"/>
    <n v="7039.0210000000006"/>
    <m/>
  </r>
  <r>
    <x v="26"/>
    <x v="466"/>
    <n v="9695.6051000000007"/>
    <n v="9723.8907999999992"/>
    <n v="16767.397200000003"/>
    <n v="7253.9110000000001"/>
    <m/>
  </r>
  <r>
    <x v="26"/>
    <x v="467"/>
    <n v="9773.1939999999995"/>
    <n v="9858.7366999999995"/>
    <n v="16856.621900000006"/>
    <n v="7112.7579999999998"/>
    <m/>
  </r>
  <r>
    <x v="26"/>
    <x v="468"/>
    <n v="9805.2453999999998"/>
    <n v="9786.424799999997"/>
    <n v="16512.965"/>
    <n v="6822.6379999999999"/>
    <m/>
  </r>
  <r>
    <x v="26"/>
    <x v="469"/>
    <n v="9122.8968000000023"/>
    <n v="9801.8858000000037"/>
    <n v="15690.5911"/>
    <n v="7010.99"/>
    <m/>
  </r>
  <r>
    <x v="26"/>
    <x v="470"/>
    <n v="9065.0427000000036"/>
    <n v="10056.6438"/>
    <n v="15960.494700000003"/>
    <n v="7186.0730000000003"/>
    <m/>
  </r>
  <r>
    <x v="26"/>
    <x v="471"/>
    <n v="9218.5569000000032"/>
    <n v="9870.130799999999"/>
    <n v="16469.441200000005"/>
    <n v="6832.8580000000002"/>
    <m/>
  </r>
  <r>
    <x v="26"/>
    <x v="472"/>
    <n v="9312.6503000000012"/>
    <n v="10181.495299999999"/>
    <n v="16808.358199999999"/>
    <n v="6993.43"/>
    <m/>
  </r>
  <r>
    <x v="26"/>
    <x v="473"/>
    <n v="9351.6144999999997"/>
    <n v="10197.408299999999"/>
    <n v="15515.129700000001"/>
    <n v="7030.3180000000002"/>
    <m/>
  </r>
  <r>
    <x v="26"/>
    <x v="474"/>
    <n v="9268.9375999999993"/>
    <n v="10188.085300000001"/>
    <n v="15506.822700000002"/>
    <n v="6979.835"/>
    <m/>
  </r>
  <r>
    <x v="26"/>
    <x v="475"/>
    <n v="9093.6978999999974"/>
    <n v="10037.381299999999"/>
    <n v="15439.306399999999"/>
    <n v="7028.8620000000001"/>
    <m/>
  </r>
  <r>
    <x v="27"/>
    <x v="476"/>
    <n v="8912.2428"/>
    <n v="9509.0512999999992"/>
    <n v="15282.947999999997"/>
    <n v="6731.15"/>
    <m/>
  </r>
  <r>
    <x v="27"/>
    <x v="477"/>
    <n v="8929.3925999999992"/>
    <n v="9598.8153000000002"/>
    <n v="15661.5538"/>
    <n v="6847.5060000000003"/>
    <m/>
  </r>
  <r>
    <x v="27"/>
    <x v="478"/>
    <n v="9021.953300000001"/>
    <n v="9691.1602999999959"/>
    <n v="15197.556600000004"/>
    <n v="6896.1589999999997"/>
    <m/>
  </r>
  <r>
    <x v="27"/>
    <x v="479"/>
    <n v="8994.3538000000008"/>
    <n v="9697.0401999999976"/>
    <n v="15197.2862"/>
    <n v="6729.1970000000001"/>
    <m/>
  </r>
  <r>
    <x v="27"/>
    <x v="480"/>
    <n v="9098.5410999999986"/>
    <n v="9777.5922999999984"/>
    <n v="14931.281200000003"/>
    <n v="6811.558"/>
    <m/>
  </r>
  <r>
    <x v="27"/>
    <x v="481"/>
    <n v="9129.155700000003"/>
    <n v="9889.5473000000002"/>
    <n v="14761.293300000001"/>
    <n v="6660.737000000001"/>
    <m/>
  </r>
  <r>
    <x v="27"/>
    <x v="482"/>
    <n v="9165.1798999999992"/>
    <n v="10282.681299999998"/>
    <n v="14892.775100000001"/>
    <n v="7165.4770000000008"/>
    <m/>
  </r>
  <r>
    <x v="27"/>
    <x v="483"/>
    <n v="9460.6165000000019"/>
    <n v="10305.285299999996"/>
    <n v="15099.326099999995"/>
    <n v="7053.6020000000008"/>
    <m/>
  </r>
  <r>
    <x v="27"/>
    <x v="484"/>
    <n v="9591.5951999999997"/>
    <n v="10574.214300000001"/>
    <n v="15217.923600000002"/>
    <n v="7217.6470000000008"/>
    <m/>
  </r>
  <r>
    <x v="27"/>
    <x v="485"/>
    <n v="9251.034599999999"/>
    <n v="10539.783699999998"/>
    <n v="14770.896400000005"/>
    <n v="7281.5429999999997"/>
    <m/>
  </r>
  <r>
    <x v="27"/>
    <x v="486"/>
    <n v="8385.8095000000012"/>
    <n v="10457.6762"/>
    <n v="14371.07"/>
    <n v="7362.0259999999998"/>
    <m/>
  </r>
  <r>
    <x v="27"/>
    <x v="487"/>
    <n v="8538.5973000000013"/>
    <n v="10671.409299999999"/>
    <n v="14740.158100000004"/>
    <n v="7470.2219999999998"/>
    <m/>
  </r>
  <r>
    <x v="27"/>
    <x v="488"/>
    <n v="8637.6286"/>
    <n v="10774.8223"/>
    <n v="14574.009900000003"/>
    <n v="7407.2849999999999"/>
    <m/>
  </r>
  <r>
    <x v="27"/>
    <x v="489"/>
    <n v="8623.615600000001"/>
    <n v="10320.579299999999"/>
    <n v="14693.731300000003"/>
    <n v="7332.7039999999997"/>
    <m/>
  </r>
  <r>
    <x v="27"/>
    <x v="490"/>
    <n v="8572.9436000000005"/>
    <n v="10166.924200000001"/>
    <n v="14894.796699999999"/>
    <n v="7421.4660000000003"/>
    <m/>
  </r>
  <r>
    <x v="27"/>
    <x v="491"/>
    <n v="8572.0573999999997"/>
    <n v="10655.367299999998"/>
    <n v="15660.161599999996"/>
    <n v="7693.2470000000003"/>
    <m/>
  </r>
  <r>
    <x v="27"/>
    <x v="492"/>
    <n v="8722.0204999999969"/>
    <n v="10642.2353"/>
    <n v="15218.024400000002"/>
    <n v="7430.6480000000001"/>
    <m/>
  </r>
  <r>
    <x v="27"/>
    <x v="493"/>
    <n v="8640.0218000000004"/>
    <n v="10693.980300000001"/>
    <n v="15414.515399999997"/>
    <n v="7356.1769999999997"/>
    <m/>
  </r>
  <r>
    <x v="27"/>
    <x v="494"/>
    <n v="8543.3672000000006"/>
    <n v="10614.3843"/>
    <n v="15330.6836"/>
    <n v="7173.826"/>
    <m/>
  </r>
  <r>
    <x v="27"/>
    <x v="495"/>
    <n v="8585.8556000000008"/>
    <n v="10338.4483"/>
    <n v="15048.139600000002"/>
    <n v="6730.0990000000002"/>
    <m/>
  </r>
  <r>
    <x v="27"/>
    <x v="496"/>
    <n v="8391.0774000000001"/>
    <n v="10463.316299999999"/>
    <n v="15230.121599999999"/>
    <n v="6838.3609999999999"/>
    <m/>
  </r>
  <r>
    <x v="28"/>
    <x v="497"/>
    <n v="8406.2412999999997"/>
    <n v="10368.919299999998"/>
    <n v="15100.8863"/>
    <n v="6894.5659999999998"/>
    <m/>
  </r>
  <r>
    <x v="28"/>
    <x v="498"/>
    <n v="8160.0784000000012"/>
    <n v="10181.612000000001"/>
    <n v="14902.655599999998"/>
    <n v="6980.7740000000003"/>
    <m/>
  </r>
  <r>
    <x v="28"/>
    <x v="499"/>
    <n v="8286.019199999997"/>
    <n v="10169.314"/>
    <n v="15202.460500000001"/>
    <n v="6912.2070000000003"/>
    <m/>
  </r>
  <r>
    <x v="28"/>
    <x v="500"/>
    <n v="8159.8672999999981"/>
    <n v="9720.8639999999978"/>
    <n v="15033.326200000001"/>
    <n v="6286.1170000000002"/>
    <m/>
  </r>
  <r>
    <x v="28"/>
    <x v="501"/>
    <n v="8344.269199999997"/>
    <n v="9862.2469999999976"/>
    <n v="15362.322200000001"/>
    <n v="6387.5929999999989"/>
    <m/>
  </r>
  <r>
    <x v="28"/>
    <x v="502"/>
    <n v="8375.9607999999989"/>
    <n v="9910.6449999999986"/>
    <n v="15352.7389"/>
    <n v="6456.5640000000003"/>
    <m/>
  </r>
  <r>
    <x v="28"/>
    <x v="503"/>
    <n v="8454.1358"/>
    <n v="9975.6139999999996"/>
    <n v="15603.951200000001"/>
    <n v="7076.7389999999996"/>
    <m/>
  </r>
  <r>
    <x v="28"/>
    <x v="504"/>
    <n v="8360.0955999999987"/>
    <n v="10011.626899999999"/>
    <n v="15641.294000000002"/>
    <n v="7180.6229999999996"/>
    <m/>
  </r>
  <r>
    <x v="28"/>
    <x v="505"/>
    <n v="7732.7804999999989"/>
    <n v="10032.854499999999"/>
    <n v="15224.412200000001"/>
    <n v="7194.1170000000002"/>
    <m/>
  </r>
  <r>
    <x v="28"/>
    <x v="506"/>
    <n v="7794.9863000000005"/>
    <n v="10248.719499999999"/>
    <n v="15629.506899999998"/>
    <n v="7147.7820000000002"/>
    <m/>
  </r>
  <r>
    <x v="28"/>
    <x v="507"/>
    <n v="7950.4897999999994"/>
    <n v="10279.621999999999"/>
    <n v="15596.161800000002"/>
    <n v="7139.3720000000003"/>
    <m/>
  </r>
  <r>
    <x v="28"/>
    <x v="508"/>
    <n v="7801.651499999999"/>
    <n v="10529.23"/>
    <n v="15596.3349"/>
    <n v="7108.8850000000002"/>
    <m/>
  </r>
  <r>
    <x v="28"/>
    <x v="509"/>
    <n v="7896.4277509999993"/>
    <n v="10798.517899999999"/>
    <n v="15258.7227"/>
    <n v="7267.7690000000002"/>
    <m/>
  </r>
  <r>
    <x v="28"/>
    <x v="510"/>
    <n v="7871.7101149999999"/>
    <n v="11039.217000000001"/>
    <n v="15592.575500000001"/>
    <n v="7539.7209999999995"/>
    <m/>
  </r>
  <r>
    <x v="28"/>
    <x v="511"/>
    <n v="7951.9628149999999"/>
    <n v="11071.359200000001"/>
    <n v="15496.883100000001"/>
    <n v="7577.2030000000004"/>
    <m/>
  </r>
  <r>
    <x v="28"/>
    <x v="512"/>
    <n v="8103.0651970000008"/>
    <n v="11126.017199999998"/>
    <n v="15780.193300000001"/>
    <n v="7766.4239999999991"/>
    <m/>
  </r>
  <r>
    <x v="28"/>
    <x v="513"/>
    <n v="8469.375654999998"/>
    <n v="11488.253999999999"/>
    <n v="15780.193300000001"/>
    <n v="7730.9210000000012"/>
    <m/>
  </r>
  <r>
    <x v="28"/>
    <x v="514"/>
    <n v="8374.9065869999995"/>
    <n v="11420.797999999999"/>
    <n v="15399.922000000002"/>
    <n v="7759.9059999999999"/>
    <m/>
  </r>
  <r>
    <x v="28"/>
    <x v="515"/>
    <n v="7842.0735369999984"/>
    <n v="11261.448099999998"/>
    <n v="16034.396099999993"/>
    <n v="7732.0750000000007"/>
    <m/>
  </r>
  <r>
    <x v="28"/>
    <x v="516"/>
    <n v="8126.2395120000001"/>
    <n v="11209.596000000003"/>
    <n v="16349.545"/>
    <n v="7682.7180000000008"/>
    <m/>
  </r>
  <r>
    <x v="29"/>
    <x v="517"/>
    <n v="8107.0883120000008"/>
    <n v="10898.891"/>
    <n v="16375.586699999998"/>
    <n v="7388.0519999999997"/>
    <m/>
  </r>
  <r>
    <x v="29"/>
    <x v="518"/>
    <n v="8154.8782119999987"/>
    <n v="11149.672"/>
    <n v="16812.486399999991"/>
    <n v="7537.4279999999999"/>
    <m/>
  </r>
  <r>
    <x v="29"/>
    <x v="519"/>
    <n v="9129.0474119999963"/>
    <n v="11245.362999999999"/>
    <n v="16969.212600000003"/>
    <n v="7805.4860000000008"/>
    <m/>
  </r>
  <r>
    <x v="29"/>
    <x v="520"/>
    <n v="7854.4760259999994"/>
    <n v="11376.527999999998"/>
    <n v="16673.104599999999"/>
    <n v="7708.5050000000001"/>
    <m/>
  </r>
  <r>
    <x v="29"/>
    <x v="521"/>
    <n v="7287.394659999999"/>
    <n v="11416.812900000003"/>
    <n v="16569.891499999994"/>
    <n v="7808.1189999999997"/>
    <m/>
  </r>
  <r>
    <x v="29"/>
    <x v="522"/>
    <n v="7472.4011660000015"/>
    <n v="11486.291899999998"/>
    <n v="15766.1446"/>
    <n v="7661.1470000000008"/>
    <m/>
  </r>
  <r>
    <x v="29"/>
    <x v="523"/>
    <n v="7567.4049054000006"/>
    <n v="11746.656900000002"/>
    <n v="15845.441099999996"/>
    <n v="7723.7350000000006"/>
    <m/>
  </r>
  <r>
    <x v="29"/>
    <x v="524"/>
    <n v="7652.1391370000001"/>
    <n v="11678.7009"/>
    <n v="15716.6168"/>
    <n v="7687.8829999999998"/>
    <m/>
  </r>
  <r>
    <x v="29"/>
    <x v="525"/>
    <n v="7512.4650569999985"/>
    <n v="11535.205900000001"/>
    <n v="15773.380999999998"/>
    <n v="7590.1630000000005"/>
    <m/>
  </r>
  <r>
    <x v="29"/>
    <x v="526"/>
    <n v="7605.8157480000009"/>
    <n v="11135.673999999999"/>
    <n v="15228.053499999998"/>
    <n v="7346.8850000000002"/>
    <m/>
  </r>
  <r>
    <x v="29"/>
    <x v="527"/>
    <n v="7605.0477480000018"/>
    <n v="11258.198999999999"/>
    <n v="15306.1191"/>
    <n v="8065.9849999999988"/>
    <m/>
  </r>
  <r>
    <x v="29"/>
    <x v="528"/>
    <n v="7726.6280740000002"/>
    <n v="11623.648000000001"/>
    <n v="15446.743999999999"/>
    <n v="8281.9290000000001"/>
    <m/>
  </r>
  <r>
    <x v="29"/>
    <x v="529"/>
    <n v="8080.6117500000028"/>
    <n v="11542.011"/>
    <n v="15822.773500000003"/>
    <n v="8426.2090000000007"/>
    <m/>
  </r>
  <r>
    <x v="29"/>
    <x v="530"/>
    <n v="8224.3386520000004"/>
    <n v="11720.872999999998"/>
    <n v="15957.226100000007"/>
    <n v="8506.5239999999994"/>
    <m/>
  </r>
  <r>
    <x v="29"/>
    <x v="531"/>
    <n v="8414.350698000002"/>
    <n v="11573.7029"/>
    <n v="16010.008099999999"/>
    <n v="8329.2790000000005"/>
    <m/>
  </r>
  <r>
    <x v="29"/>
    <x v="532"/>
    <n v="8396.9358979999997"/>
    <n v="11820.688999999998"/>
    <n v="16257.083799999999"/>
    <n v="8483.1290000000008"/>
    <m/>
  </r>
  <r>
    <x v="29"/>
    <x v="533"/>
    <n v="8480.5159585000001"/>
    <n v="11914.117999999999"/>
    <n v="16063.326199999998"/>
    <n v="8543.0450000000001"/>
    <m/>
  </r>
  <r>
    <x v="29"/>
    <x v="534"/>
    <n v="8444.3025379999999"/>
    <n v="11958.913999999997"/>
    <n v="16503.948099999998"/>
    <n v="8580.7610000000004"/>
    <m/>
  </r>
  <r>
    <x v="29"/>
    <x v="535"/>
    <n v="8668.1086379999997"/>
    <n v="11865.203"/>
    <n v="16647.873299999992"/>
    <n v="8536.4670000000006"/>
    <m/>
  </r>
  <r>
    <x v="29"/>
    <x v="536"/>
    <n v="8439.0720380000021"/>
    <n v="11620.151900000001"/>
    <n v="16635.176999999996"/>
    <n v="8567.9439999999995"/>
    <m/>
  </r>
  <r>
    <x v="30"/>
    <x v="537"/>
    <n v="8399.4677380000012"/>
    <n v="11762.883"/>
    <n v="17113.488199999996"/>
    <n v="8651.1229999999996"/>
    <m/>
  </r>
  <r>
    <x v="30"/>
    <x v="538"/>
    <n v="8259.8605301999996"/>
    <n v="11803.466700000001"/>
    <n v="17361.425899999995"/>
    <n v="8550.1730000000025"/>
    <m/>
  </r>
  <r>
    <x v="30"/>
    <x v="539"/>
    <n v="8313.1960279999985"/>
    <n v="11847.7518"/>
    <n v="17336.1656"/>
    <n v="8510.7450000000008"/>
    <m/>
  </r>
  <r>
    <x v="30"/>
    <x v="540"/>
    <n v="8408.0949239999991"/>
    <n v="11346.023800000003"/>
    <n v="16887.870499999994"/>
    <n v="7850.4630000000006"/>
    <m/>
  </r>
  <r>
    <x v="30"/>
    <x v="541"/>
    <n v="8310.8991521999997"/>
    <n v="11544.441800000001"/>
    <n v="17342.474099999992"/>
    <n v="8016.433"/>
    <m/>
  </r>
  <r>
    <x v="30"/>
    <x v="542"/>
    <n v="8508.6384258800026"/>
    <n v="11462.436800000001"/>
    <n v="17544.007699999995"/>
    <n v="8137.6989999999996"/>
    <m/>
  </r>
  <r>
    <x v="30"/>
    <x v="543"/>
    <n v="8858.4210879999991"/>
    <n v="11550.520800000004"/>
    <n v="17512.164700000001"/>
    <n v="8267.6659999999993"/>
    <m/>
  </r>
  <r>
    <x v="30"/>
    <x v="544"/>
    <n v="8903.7811380000039"/>
    <n v="11627.614799999999"/>
    <n v="17393.1263"/>
    <n v="8336.5820000000003"/>
    <m/>
  </r>
  <r>
    <x v="30"/>
    <x v="545"/>
    <n v="8580.1881178000003"/>
    <n v="12125.502799999998"/>
    <n v="17171.649399999998"/>
    <n v="8250.5159999999996"/>
    <m/>
  </r>
  <r>
    <x v="30"/>
    <x v="546"/>
    <n v="8759.1071257999993"/>
    <n v="12171.846"/>
    <n v="16755.242100000003"/>
    <n v="8249.9500000000007"/>
    <m/>
  </r>
  <r>
    <x v="30"/>
    <x v="547"/>
    <n v="8754.9196257999974"/>
    <n v="12361.385999999999"/>
    <n v="16712.783599999999"/>
    <n v="8253.1409999999996"/>
    <m/>
  </r>
  <r>
    <x v="30"/>
    <x v="548"/>
    <n v="8781.4247557999988"/>
    <n v="12470.395900000001"/>
    <n v="16490.767100000001"/>
    <n v="8003.3689999999997"/>
    <m/>
  </r>
  <r>
    <x v="30"/>
    <x v="549"/>
    <n v="8679.4579217999999"/>
    <n v="12682.589199999999"/>
    <n v="16821.2857"/>
    <n v="8196.4380000000001"/>
    <m/>
  </r>
  <r>
    <x v="30"/>
    <x v="550"/>
    <n v="8796.2253717999993"/>
    <n v="12656.6032"/>
    <n v="17138.899800000003"/>
    <n v="8363.2180000000008"/>
    <m/>
  </r>
  <r>
    <x v="30"/>
    <x v="551"/>
    <n v="8472.3609245999996"/>
    <n v="12611.198200000001"/>
    <n v="17533.660399999997"/>
    <n v="8496.4850000000006"/>
    <m/>
  </r>
  <r>
    <x v="30"/>
    <x v="552"/>
    <n v="8162.6885051000017"/>
    <n v="12695.432200000001"/>
    <n v="17640.428500000005"/>
    <n v="8613.6650000000009"/>
    <m/>
  </r>
  <r>
    <x v="30"/>
    <x v="553"/>
    <n v="7762.6093217999996"/>
    <n v="12643.123899999999"/>
    <n v="17715.708299999998"/>
    <n v="8851.9660000000003"/>
    <m/>
  </r>
  <r>
    <x v="31"/>
    <x v="554"/>
    <n v="7914.8854785000012"/>
    <n v="12846.862000000001"/>
    <n v="17928.057100000002"/>
    <n v="8952.6139999999996"/>
    <m/>
  </r>
  <r>
    <x v="31"/>
    <x v="555"/>
    <n v="7803.4390900000008"/>
    <n v="12683.7909"/>
    <n v="17776.888800000001"/>
    <n v="8844.6219999999994"/>
    <m/>
  </r>
  <r>
    <x v="31"/>
    <x v="556"/>
    <n v="7989.1965899999996"/>
    <n v="12732.587000000001"/>
    <n v="17483.025000000005"/>
    <n v="8840.4249999999993"/>
    <m/>
  </r>
  <r>
    <x v="31"/>
    <x v="557"/>
    <n v="8135.2375900000006"/>
    <n v="12792.666999999998"/>
    <n v="17283.977200000001"/>
    <n v="8821.6749999999993"/>
    <m/>
  </r>
  <r>
    <x v="31"/>
    <x v="558"/>
    <n v="7903.2241621000003"/>
    <n v="12483.389000000001"/>
    <n v="17231.450500000006"/>
    <n v="8613.5"/>
    <m/>
  </r>
  <r>
    <x v="31"/>
    <x v="559"/>
    <n v="8012.2011621000011"/>
    <n v="12700.251999999999"/>
    <n v="17310.479999999956"/>
    <n v="8631.9380000000001"/>
    <m/>
  </r>
  <r>
    <x v="31"/>
    <x v="560"/>
    <n v="8376.4757816000001"/>
    <n v="12684.870000000003"/>
    <n v="17258.159999999902"/>
    <n v="8709.2999999999993"/>
    <m/>
  </r>
  <r>
    <x v="31"/>
    <x v="561"/>
    <n v="8472.9268816000003"/>
    <n v="12451.420899999997"/>
    <n v="17412.056899999865"/>
    <n v="8634.6890000000003"/>
    <m/>
  </r>
  <r>
    <x v="31"/>
    <x v="562"/>
    <n v="8732.1021816000011"/>
    <n v="12613.703000000001"/>
    <n v="17579.380599999844"/>
    <n v="8451.2729999999992"/>
    <m/>
  </r>
  <r>
    <x v="31"/>
    <x v="563"/>
    <n v="9223.302581599999"/>
    <n v="12052.250999999998"/>
    <n v="17543.073999999855"/>
    <n v="8438.7690000000002"/>
    <m/>
  </r>
  <r>
    <x v="31"/>
    <x v="564"/>
    <n v="9190.456481600002"/>
    <n v="12254.697700000001"/>
    <n v="18169.744999999864"/>
    <n v="8657.2980000000007"/>
    <m/>
  </r>
  <r>
    <x v="31"/>
    <x v="565"/>
    <n v="9277.6066153000011"/>
    <n v="12275.6157"/>
    <n v="18310.693399999858"/>
    <n v="8814.1020000000008"/>
    <m/>
  </r>
  <r>
    <x v="31"/>
    <x v="566"/>
    <n v="9370.8759872999999"/>
    <n v="12221.448"/>
    <n v="18372.881299999881"/>
    <n v="8756.5509999999995"/>
    <m/>
  </r>
  <r>
    <x v="31"/>
    <x v="567"/>
    <n v="8968.0074372999989"/>
    <n v="12126.609999999999"/>
    <n v="17916.877499999882"/>
    <n v="8647.8790000000008"/>
    <m/>
  </r>
  <r>
    <x v="31"/>
    <x v="568"/>
    <n v="8955.5604772999995"/>
    <n v="12289.761999999999"/>
    <n v="18330.772399999882"/>
    <n v="8717.1919999999991"/>
    <m/>
  </r>
  <r>
    <x v="31"/>
    <x v="569"/>
    <n v="9253.2410753000022"/>
    <n v="12405.226000000002"/>
    <n v="18733.669299999892"/>
    <n v="8568.5720000000001"/>
    <m/>
  </r>
  <r>
    <x v="31"/>
    <x v="570"/>
    <n v="9163.7132632999965"/>
    <n v="12387.772799999999"/>
    <n v="18862.204299999896"/>
    <n v="8431.9989999999998"/>
    <m/>
  </r>
  <r>
    <x v="31"/>
    <x v="571"/>
    <n v="9178.4813417999994"/>
    <n v="12255.104800000001"/>
    <n v="18937.675199999903"/>
    <n v="8311.1350000000002"/>
    <m/>
  </r>
  <r>
    <x v="31"/>
    <x v="572"/>
    <n v="9091.8427207000004"/>
    <n v="11702.216"/>
    <n v="18071.055099999925"/>
    <n v="8189.4740000000011"/>
    <m/>
  </r>
  <r>
    <x v="31"/>
    <x v="573"/>
    <n v="9250.3541428999997"/>
    <n v="11805.190999999999"/>
    <n v="18222.676999999945"/>
    <n v="8289.2090000000007"/>
    <m/>
  </r>
  <r>
    <x v="31"/>
    <x v="574"/>
    <n v="9139.7729428999974"/>
    <n v="11641.243"/>
    <n v="18518.333399999941"/>
    <n v="8289.9650000000001"/>
    <m/>
  </r>
  <r>
    <x v="31"/>
    <x v="575"/>
    <n v="9186.4212687999989"/>
    <n v="11467.475999999999"/>
    <n v="18700.712999999952"/>
    <n v="8090.7440000000006"/>
    <m/>
  </r>
  <r>
    <x v="32"/>
    <x v="576"/>
    <n v="8847.8712687999996"/>
    <n v="11499.745999999999"/>
    <n v="18284.739299999957"/>
    <n v="8127.8879999999999"/>
    <m/>
  </r>
  <r>
    <x v="32"/>
    <x v="577"/>
    <n v="8465.5230687999992"/>
    <n v="10792.294"/>
    <n v="17457.646699999968"/>
    <n v="7480.2960000000003"/>
    <m/>
  </r>
  <r>
    <x v="32"/>
    <x v="578"/>
    <n v="8446.1400688000012"/>
    <n v="10999.16"/>
    <n v="17816.502999999972"/>
    <n v="7573.2545"/>
    <m/>
  </r>
  <r>
    <x v="32"/>
    <x v="579"/>
    <n v="8628.0608088999998"/>
    <n v="11073.029"/>
    <n v="18079.665199999985"/>
    <n v="7841.1125000000011"/>
    <m/>
  </r>
  <r>
    <x v="32"/>
    <x v="580"/>
    <n v="8392.8212687999985"/>
    <n v="10900.097"/>
    <n v="17959.586499999987"/>
    <n v="7826.1455000000005"/>
    <m/>
  </r>
  <r>
    <x v="32"/>
    <x v="581"/>
    <n v="8301.5564187999989"/>
    <n v="10994.980999999998"/>
    <n v="17932.217099999998"/>
    <n v="7822.5455000000002"/>
    <m/>
  </r>
  <r>
    <x v="32"/>
    <x v="582"/>
    <n v="7583.5122188000005"/>
    <n v="10893.772000000001"/>
    <n v="17944.678599999996"/>
    <n v="7405.4404999999997"/>
    <m/>
  </r>
  <r>
    <x v="32"/>
    <x v="583"/>
    <n v="7583.5122187999978"/>
    <n v="10893.771999999999"/>
    <n v="17944.678599999988"/>
    <n v="7371.0654999999997"/>
    <m/>
  </r>
  <r>
    <x v="32"/>
    <x v="584"/>
    <n v="7579.8928188"/>
    <n v="10922.432999999999"/>
    <n v="18073.985099999998"/>
    <n v="7612.2524999999996"/>
    <m/>
  </r>
  <r>
    <x v="32"/>
    <x v="585"/>
    <n v="7538.3485850999987"/>
    <n v="11051.428899999999"/>
    <n v="18552.514599999995"/>
    <n v="7611.1745000000001"/>
    <m/>
  </r>
  <r>
    <x v="32"/>
    <x v="586"/>
    <n v="7251.7199468000017"/>
    <n v="11002.076999999997"/>
    <n v="18571.395699999994"/>
    <n v="7580.1684999999998"/>
    <m/>
  </r>
  <r>
    <x v="32"/>
    <x v="587"/>
    <n v="7279.1647968000025"/>
    <n v="10949.571"/>
    <n v="18662.500799999998"/>
    <n v="7372.4865"/>
    <m/>
  </r>
  <r>
    <x v="32"/>
    <x v="588"/>
    <n v="6978.0982788000001"/>
    <n v="10856.259"/>
    <n v="18418.846700000002"/>
    <n v="7197.4054999999998"/>
    <m/>
  </r>
  <r>
    <x v="32"/>
    <x v="589"/>
    <n v="7032.5956726000004"/>
    <n v="11080.482900000001"/>
    <n v="18994.287"/>
    <n v="7279.3175000000001"/>
    <m/>
  </r>
  <r>
    <x v="32"/>
    <x v="590"/>
    <n v="7294.3851589999995"/>
    <n v="11036.5769"/>
    <n v="19268.2058"/>
    <n v="7227.5595000000003"/>
    <m/>
  </r>
  <r>
    <x v="32"/>
    <x v="591"/>
    <n v="7029.7067718000008"/>
    <n v="11174.264000000001"/>
    <n v="19264.367200000001"/>
    <n v="7331.6864999999998"/>
    <m/>
  </r>
  <r>
    <x v="32"/>
    <x v="592"/>
    <n v="7118.5675589999992"/>
    <n v="11015.344999999999"/>
    <n v="19108.290099999995"/>
    <n v="7203.2830000000004"/>
    <m/>
  </r>
  <r>
    <x v="33"/>
    <x v="593"/>
    <n v="7350.7815859999982"/>
    <n v="10828.965899999999"/>
    <n v="18756.23859999999"/>
    <n v="7014.9669999999996"/>
    <m/>
  </r>
  <r>
    <x v="33"/>
    <x v="594"/>
    <n v="7263.6542023999991"/>
    <n v="11049.4969"/>
    <n v="19154.480799999987"/>
    <n v="7079.4309999999996"/>
    <m/>
  </r>
  <r>
    <x v="33"/>
    <x v="595"/>
    <n v="7387.128774400001"/>
    <n v="11018.6618"/>
    <n v="18809.100699999995"/>
    <n v="7075.7719999999999"/>
    <m/>
  </r>
  <r>
    <x v="33"/>
    <x v="596"/>
    <n v="7215.8174109999991"/>
    <n v="10973.4318"/>
    <n v="18959.775999999987"/>
    <n v="7062.43"/>
    <m/>
  </r>
  <r>
    <x v="33"/>
    <x v="597"/>
    <n v="7196.421711"/>
    <n v="10992.8799"/>
    <n v="19084.050799999994"/>
    <n v="6968.951"/>
    <m/>
  </r>
  <r>
    <x v="33"/>
    <x v="598"/>
    <n v="7013.7264109999996"/>
    <n v="10738.0659"/>
    <n v="18579.481600000003"/>
    <n v="6697.3440000000001"/>
    <m/>
  </r>
  <r>
    <x v="33"/>
    <x v="599"/>
    <n v="6892.5019110000003"/>
    <n v="10850.857900000001"/>
    <n v="18727.177300000003"/>
    <n v="6780.549"/>
    <m/>
  </r>
  <r>
    <x v="33"/>
    <x v="600"/>
    <n v="6886.5874110000013"/>
    <n v="10728.650899999997"/>
    <n v="18473.310800000003"/>
    <n v="6678.1549999999997"/>
    <m/>
  </r>
  <r>
    <x v="33"/>
    <x v="601"/>
    <n v="7017.8424009999999"/>
    <n v="10811.433899999998"/>
    <n v="18371.573199999995"/>
    <n v="6786.5150000000003"/>
    <m/>
  </r>
  <r>
    <x v="33"/>
    <x v="602"/>
    <n v="7091.5679010000013"/>
    <n v="10837.9079"/>
    <n v="17524.754700000001"/>
    <n v="6795.5079999999998"/>
    <m/>
  </r>
  <r>
    <x v="33"/>
    <x v="603"/>
    <n v="6598.7515009999997"/>
    <n v="10512.1289"/>
    <n v="17315.385399999988"/>
    <n v="6870.1180000000004"/>
    <m/>
  </r>
  <r>
    <x v="33"/>
    <x v="604"/>
    <n v="6643.1971510000012"/>
    <n v="10714.545900000001"/>
    <n v="17671.122399999986"/>
    <n v="7157.7309999999998"/>
    <m/>
  </r>
  <r>
    <x v="33"/>
    <x v="605"/>
    <n v="6645.7397009999995"/>
    <n v="10726.319900000004"/>
    <n v="17244.604899999984"/>
    <n v="7338.8440000000001"/>
    <m/>
  </r>
  <r>
    <x v="33"/>
    <x v="606"/>
    <n v="6834.9174428999986"/>
    <n v="10514.265900000002"/>
    <n v="16716.785999999986"/>
    <n v="7027.9859999999999"/>
    <m/>
  </r>
  <r>
    <x v="33"/>
    <x v="607"/>
    <n v="6723.4221955000003"/>
    <n v="10742.093699999999"/>
    <n v="16860.318799999983"/>
    <n v="7115.7909999999993"/>
    <m/>
  </r>
  <r>
    <x v="33"/>
    <x v="608"/>
    <n v="6911.8936089999997"/>
    <n v="10866.8477"/>
    <n v="16705.573799999984"/>
    <n v="7058.771999999999"/>
    <m/>
  </r>
  <r>
    <x v="33"/>
    <x v="609"/>
    <n v="6872.2493090000007"/>
    <n v="10811.572700000001"/>
    <n v="16638.291699999991"/>
    <n v="7048.277"/>
    <m/>
  </r>
  <r>
    <x v="33"/>
    <x v="610"/>
    <n v="6854.0741947000006"/>
    <n v="10716.1759"/>
    <n v="16612.503499999984"/>
    <n v="7066.8599999999988"/>
    <m/>
  </r>
  <r>
    <x v="33"/>
    <x v="611"/>
    <n v="6745.2140852000002"/>
    <n v="10592.8729"/>
    <n v="16279.925499999994"/>
    <n v="6802.0370000000003"/>
    <m/>
  </r>
  <r>
    <x v="33"/>
    <x v="612"/>
    <n v="6304.1551851999993"/>
    <n v="10525.623799999999"/>
    <n v="16083.991199999997"/>
    <n v="6980.4350000000004"/>
    <m/>
  </r>
  <r>
    <x v="34"/>
    <x v="613"/>
    <n v="6105.2605329999988"/>
    <n v="10373.286900000001"/>
    <n v="15904.279499999981"/>
    <n v="6983.4409999999998"/>
    <m/>
  </r>
  <r>
    <x v="34"/>
    <x v="614"/>
    <n v="5962.5777851000003"/>
    <n v="10378.780900000002"/>
    <n v="15908.802899999986"/>
    <n v="7226.5450000000001"/>
    <m/>
  </r>
  <r>
    <x v="34"/>
    <x v="615"/>
    <n v="6055.0325299999995"/>
    <n v="10364.992099999998"/>
    <n v="15919.962799999979"/>
    <n v="7302.6930000000002"/>
    <m/>
  </r>
  <r>
    <x v="34"/>
    <x v="616"/>
    <n v="5993.0398299999997"/>
    <n v="9903.0781000000006"/>
    <n v="16049.543400000002"/>
    <n v="7127.9480000000003"/>
    <m/>
  </r>
  <r>
    <x v="34"/>
    <x v="617"/>
    <n v="6028.5334300000004"/>
    <n v="9940.9421999999977"/>
    <n v="16515.0141"/>
    <n v="7259.03"/>
    <m/>
  </r>
  <r>
    <x v="34"/>
    <x v="618"/>
    <n v="5875.6177799999996"/>
    <n v="10017.888199999996"/>
    <n v="16599.591099999998"/>
    <n v="7252.6660000000002"/>
    <m/>
  </r>
  <r>
    <x v="34"/>
    <x v="619"/>
    <n v="5800.8410800000001"/>
    <n v="10160.209200000003"/>
    <n v="16705.490899999993"/>
    <n v="7245.598"/>
    <m/>
  </r>
  <r>
    <x v="34"/>
    <x v="620"/>
    <n v="5771.9132799999998"/>
    <n v="10196.716200000003"/>
    <n v="16710.782999999999"/>
    <n v="7169.7120000000004"/>
    <m/>
  </r>
  <r>
    <x v="34"/>
    <x v="621"/>
    <n v="5950.0186799999992"/>
    <n v="9782.7732000000015"/>
    <n v="16274.185600000006"/>
    <n v="7099.6959999999999"/>
    <m/>
  </r>
  <r>
    <x v="34"/>
    <x v="622"/>
    <n v="5913.2050799999979"/>
    <n v="9818.6592000000037"/>
    <n v="16015.296300000005"/>
    <n v="7015.0779999999995"/>
    <m/>
  </r>
  <r>
    <x v="34"/>
    <x v="623"/>
    <n v="5847.1715451"/>
    <n v="9870.4832000000024"/>
    <n v="16176.6818"/>
    <n v="7101.3089999999993"/>
    <m/>
  </r>
  <r>
    <x v="34"/>
    <x v="624"/>
    <n v="5703.4076109999996"/>
    <n v="9855.7942000000003"/>
    <n v="16214.721900000004"/>
    <n v="7211.0919999999996"/>
    <m/>
  </r>
  <r>
    <x v="34"/>
    <x v="625"/>
    <n v="5678.5679880000007"/>
    <n v="9467.5071999999982"/>
    <n v="15479.774300000005"/>
    <n v="7089.7759999999998"/>
    <m/>
  </r>
  <r>
    <x v="34"/>
    <x v="626"/>
    <n v="5856.7951880000001"/>
    <n v="9618.7842000000001"/>
    <n v="15550.003900000003"/>
    <n v="7195.6220000000003"/>
    <m/>
  </r>
  <r>
    <x v="34"/>
    <x v="627"/>
    <n v="6132.4315699999997"/>
    <n v="9583.8271999999997"/>
    <n v="15817.739500000003"/>
    <n v="7235.0249999999996"/>
    <m/>
  </r>
  <r>
    <x v="34"/>
    <x v="628"/>
    <n v="6227.4635700000017"/>
    <n v="9703.7672000000002"/>
    <n v="15353.139800000006"/>
    <n v="7368.7380000000003"/>
    <m/>
  </r>
  <r>
    <x v="34"/>
    <x v="629"/>
    <n v="6439.25227"/>
    <n v="9636.881199999998"/>
    <n v="14930.389300000003"/>
    <n v="7350.4570000000003"/>
    <m/>
  </r>
  <r>
    <x v="34"/>
    <x v="630"/>
    <n v="6439.8422873000009"/>
    <n v="9274.5891999999985"/>
    <n v="14447.490850000004"/>
    <n v="7272.6570000000011"/>
    <m/>
  </r>
  <r>
    <x v="34"/>
    <x v="631"/>
    <n v="6375.4258873000008"/>
    <n v="9448.7071999999989"/>
    <n v="14912.773850000007"/>
    <n v="7555.764000000001"/>
    <m/>
  </r>
  <r>
    <x v="34"/>
    <x v="632"/>
    <n v="6664.6686661000012"/>
    <n v="9542.2641999999978"/>
    <n v="15927.367450000011"/>
    <n v="7583.5959999999995"/>
    <m/>
  </r>
  <r>
    <x v="35"/>
    <x v="633"/>
    <n v="7352.740490000002"/>
    <n v="9503.8731999999982"/>
    <n v="17714.587950000008"/>
    <n v="7192.7950000000001"/>
    <m/>
  </r>
  <r>
    <x v="35"/>
    <x v="634"/>
    <n v="7403.1691900000023"/>
    <n v="9379.0812000000005"/>
    <n v="17489.783350000002"/>
    <n v="6872.7109999999993"/>
    <m/>
  </r>
  <r>
    <x v="35"/>
    <x v="635"/>
    <n v="7626.3810900000017"/>
    <n v="9379.0812000000005"/>
    <n v="18075.940549999999"/>
    <n v="6779.003999999999"/>
    <m/>
  </r>
  <r>
    <x v="35"/>
    <x v="636"/>
    <n v="7594.32935"/>
    <n v="9247.1641999999993"/>
    <n v="18032.030549999989"/>
    <n v="6800.1809999999996"/>
    <m/>
  </r>
  <r>
    <x v="35"/>
    <x v="637"/>
    <n v="7241.2570500000029"/>
    <n v="9332.738199999998"/>
    <n v="17424.343349999988"/>
    <n v="7087.1819999999998"/>
    <m/>
  </r>
  <r>
    <x v="35"/>
    <x v="638"/>
    <n v="7594.32935"/>
    <n v="9247.1641999999993"/>
    <n v="18032.030549999989"/>
    <n v="6800.1809999999996"/>
    <m/>
  </r>
  <r>
    <x v="35"/>
    <x v="639"/>
    <n v="6565.5348500000009"/>
    <n v="8638.7540000000008"/>
    <n v="16697.927449999985"/>
    <n v="7236.1329999999998"/>
    <m/>
  </r>
  <r>
    <x v="35"/>
    <x v="640"/>
    <n v="6365.4121659999983"/>
    <n v="8822.2498999999989"/>
    <n v="16241.971649999989"/>
    <n v="7432.3509999999997"/>
    <m/>
  </r>
  <r>
    <x v="35"/>
    <x v="641"/>
    <n v="6268.7707659999996"/>
    <n v="8747.313900000001"/>
    <n v="17201.614549999984"/>
    <n v="7381.8289999999997"/>
    <m/>
  </r>
  <r>
    <x v="35"/>
    <x v="642"/>
    <n v="6323.4500660000003"/>
    <n v="8845.7389999999996"/>
    <n v="16106.787549999994"/>
    <n v="7063.7489999999998"/>
    <m/>
  </r>
  <r>
    <x v="35"/>
    <x v="643"/>
    <n v="6323.4500660000022"/>
    <n v="8951.9709999999995"/>
    <n v="15872.608549999992"/>
    <n v="6982.3239999999996"/>
    <m/>
  </r>
  <r>
    <x v="35"/>
    <x v="644"/>
    <n v="6234.6795726000018"/>
    <n v="9205.273900000002"/>
    <n v="16047.048099999998"/>
    <n v="7082.7349999999997"/>
    <m/>
  </r>
  <r>
    <x v="35"/>
    <x v="645"/>
    <n v="6217.5195726000011"/>
    <n v="9292.0298999999995"/>
    <n v="15798.015599999992"/>
    <n v="7140.8440000000001"/>
    <m/>
  </r>
  <r>
    <x v="35"/>
    <x v="646"/>
    <n v="6156.184855999998"/>
    <n v="9225.4868999999981"/>
    <n v="15734.979899999989"/>
    <n v="7197.1869999999999"/>
    <m/>
  </r>
  <r>
    <x v="35"/>
    <x v="647"/>
    <n v="6099.7400813000013"/>
    <n v="8825.905999999999"/>
    <n v="15435.077400000002"/>
    <n v="7298.4269999999997"/>
    <m/>
  </r>
  <r>
    <x v="35"/>
    <x v="648"/>
    <n v="6099.1174759999994"/>
    <n v="8417.764000000001"/>
    <n v="15334.059599999999"/>
    <n v="7552.3770000000004"/>
    <m/>
  </r>
  <r>
    <x v="35"/>
    <x v="649"/>
    <n v="6034.2606759999999"/>
    <n v="8731"/>
    <n v="15426.221299999999"/>
    <n v="7645.2359999999999"/>
    <m/>
  </r>
  <r>
    <x v="35"/>
    <x v="650"/>
    <n v="5872.2964880999998"/>
    <n v="8765.8670000000002"/>
    <n v="15302.587249999991"/>
    <n v="7608.3159999999998"/>
    <m/>
  </r>
  <r>
    <x v="35"/>
    <x v="651"/>
    <n v="5707.3804430000009"/>
    <n v="8821.0709000000006"/>
    <n v="15375.083499999993"/>
    <n v="7433.192"/>
    <m/>
  </r>
  <r>
    <x v="36"/>
    <x v="652"/>
    <n v="5864.8388430000005"/>
    <n v="8678.4890000000014"/>
    <n v="15572.845900000002"/>
    <n v="7362.6949999999997"/>
    <m/>
  </r>
  <r>
    <x v="36"/>
    <x v="653"/>
    <n v="5864.7408430000014"/>
    <n v="8707.3169999999991"/>
    <n v="15226.638899999996"/>
    <n v="7326.9449999999997"/>
    <m/>
  </r>
  <r>
    <x v="36"/>
    <x v="654"/>
    <n v="5824.4886447000008"/>
    <n v="8733.2560000000012"/>
    <n v="15487.296049999988"/>
    <n v="7458.2659999999996"/>
    <m/>
  </r>
  <r>
    <x v="36"/>
    <x v="655"/>
    <n v="5805.7190000000001"/>
    <n v="8544.2345000000005"/>
    <n v="14998.620749999991"/>
    <n v="7463.6750000000002"/>
    <m/>
  </r>
  <r>
    <x v="36"/>
    <x v="656"/>
    <n v="5149.6572099999994"/>
    <n v="8493.2338999999993"/>
    <n v="14810.987250000004"/>
    <n v="7517.5950000000003"/>
    <m/>
  </r>
  <r>
    <x v="36"/>
    <x v="657"/>
    <n v="5032.3258500000002"/>
    <n v="8591.0430000000015"/>
    <n v="14177.244050000005"/>
    <n v="7575.9549999999999"/>
    <m/>
  </r>
  <r>
    <x v="36"/>
    <x v="658"/>
    <n v="5030.2896500000006"/>
    <n v="8759.0649999999987"/>
    <n v="14245.983150000009"/>
    <n v="7692.1880000000001"/>
    <m/>
  </r>
  <r>
    <x v="36"/>
    <x v="659"/>
    <n v="5078.6867834000004"/>
    <n v="8872.7168999999976"/>
    <n v="14412.517000000005"/>
    <n v="7853.268"/>
    <m/>
  </r>
  <r>
    <x v="36"/>
    <x v="660"/>
    <n v="5014.6393320000006"/>
    <n v="8998.7358999999997"/>
    <n v="14255.263400000005"/>
    <n v="8024.7860000000001"/>
    <m/>
  </r>
  <r>
    <x v="36"/>
    <x v="661"/>
    <n v="4977.3452319999997"/>
    <n v="9260.5608999999986"/>
    <n v="14382.347900000002"/>
    <n v="8121.9570000000003"/>
    <m/>
  </r>
  <r>
    <x v="36"/>
    <x v="662"/>
    <n v="4992.9897820000006"/>
    <n v="9197.7329000000009"/>
    <n v="14252.435500000001"/>
    <n v="8048.1029999999992"/>
    <m/>
  </r>
  <r>
    <x v="36"/>
    <x v="663"/>
    <n v="5115.4573120000005"/>
    <n v="9149.5169000000005"/>
    <n v="14555.194199999998"/>
    <n v="8067.2279999999992"/>
    <m/>
  </r>
  <r>
    <x v="36"/>
    <x v="664"/>
    <n v="5388.6489619999993"/>
    <n v="9179.9079000000002"/>
    <n v="14660.986100000007"/>
    <n v="8173.1170000000002"/>
    <m/>
  </r>
  <r>
    <x v="36"/>
    <x v="665"/>
    <n v="5211.9663007000017"/>
    <n v="9001.1018999999997"/>
    <n v="13603.230600000001"/>
    <n v="8211.39"/>
    <m/>
  </r>
  <r>
    <x v="36"/>
    <x v="666"/>
    <n v="5296.247685600003"/>
    <n v="9265.0699000000004"/>
    <n v="13725.270500000002"/>
    <n v="8308.2999999999993"/>
    <m/>
  </r>
  <r>
    <x v="36"/>
    <x v="667"/>
    <n v="5404.7697203999996"/>
    <n v="9168.0228999999981"/>
    <n v="13639.087500000001"/>
    <n v="8310.9390000000003"/>
    <m/>
  </r>
  <r>
    <x v="36"/>
    <x v="668"/>
    <n v="5277.085320000002"/>
    <n v="9052.6413999999986"/>
    <n v="13679.052100000006"/>
    <n v="8142.2780000000012"/>
    <m/>
  </r>
  <r>
    <x v="36"/>
    <x v="669"/>
    <n v="5273"/>
    <n v="9015"/>
    <n v="13708"/>
    <n v="8042"/>
    <m/>
  </r>
  <r>
    <x v="36"/>
    <x v="670"/>
    <n v="4879.8115200000011"/>
    <n v="8891.5960000000014"/>
    <n v="13477.094200000007"/>
    <n v="8181.9070000000002"/>
    <m/>
  </r>
  <r>
    <x v="36"/>
    <x v="671"/>
    <n v="4746.0012200000001"/>
    <n v="8999.2820000000011"/>
    <n v="13524.797700000003"/>
    <n v="8276.6560000000009"/>
    <m/>
  </r>
  <r>
    <x v="36"/>
    <x v="672"/>
    <n v="4592.6444605999986"/>
    <n v="8849.8948999999975"/>
    <n v="13593.508300000005"/>
    <n v="8243.0920000000006"/>
    <m/>
  </r>
  <r>
    <x v="37"/>
    <x v="673"/>
    <n v="4374.8565859999999"/>
    <n v="8710.3989000000001"/>
    <n v="13660.574900000003"/>
    <n v="8371.7289999999994"/>
    <m/>
  </r>
  <r>
    <x v="37"/>
    <x v="674"/>
    <n v="4425.4127860000008"/>
    <n v="8999.2820000000011"/>
    <n v="14071"/>
    <n v="8498.2389999999996"/>
    <m/>
  </r>
  <r>
    <x v="37"/>
    <x v="675"/>
    <n v="4091.8415859999991"/>
    <n v="8311.7839999999997"/>
    <n v="14293.175799999997"/>
    <n v="8127.3510000000006"/>
    <m/>
  </r>
  <r>
    <x v="37"/>
    <x v="676"/>
    <n v="4197.1976859999995"/>
    <n v="8442.2289999999994"/>
    <n v="14363.189200000001"/>
    <n v="8291.0229999999992"/>
    <m/>
  </r>
  <r>
    <x v="37"/>
    <x v="677"/>
    <n v="4302.846286"/>
    <n v="8370.93"/>
    <n v="14388.751999999997"/>
    <n v="8174.3619999999992"/>
    <m/>
  </r>
  <r>
    <x v="37"/>
    <x v="678"/>
    <n v="4438.7220420000003"/>
    <n v="8379.2299000000003"/>
    <n v="14619.317899999998"/>
    <n v="8110.6829999999991"/>
    <m/>
  </r>
  <r>
    <x v="37"/>
    <x v="679"/>
    <n v="4513"/>
    <n v="8160"/>
    <n v="14766"/>
    <n v="8141"/>
    <m/>
  </r>
  <r>
    <x v="37"/>
    <x v="680"/>
    <n v="4333.971841999999"/>
    <n v="8223.6489000000001"/>
    <n v="15055.165800000002"/>
    <n v="8024.8390000000009"/>
    <m/>
  </r>
  <r>
    <x v="37"/>
    <x v="681"/>
    <n v="3999.5900419999998"/>
    <n v="8143.5540000000001"/>
    <n v="15081.017100000001"/>
    <n v="7963.7079999999996"/>
    <m/>
  </r>
  <r>
    <x v="37"/>
    <x v="682"/>
    <n v="4356.9572419999986"/>
    <n v="7926.1369000000004"/>
    <n v="15111.514800000003"/>
    <n v="7958.1440000000011"/>
    <m/>
  </r>
  <r>
    <x v="37"/>
    <x v="683"/>
    <n v="4408.7908420000003"/>
    <n v="7592.2008999999998"/>
    <n v="14457.796599999998"/>
    <n v="8101.5170000000007"/>
    <m/>
  </r>
  <r>
    <x v="37"/>
    <x v="684"/>
    <n v="4281.9641419999989"/>
    <n v="7742.7568999999994"/>
    <n v="14570.085600000002"/>
    <n v="8223.107"/>
    <m/>
  </r>
  <r>
    <x v="37"/>
    <x v="685"/>
    <n v="4429.664342"/>
    <n v="7635.6089999999995"/>
    <n v="14751.837500000001"/>
    <n v="8375.5319999999992"/>
    <m/>
  </r>
  <r>
    <x v="37"/>
    <x v="686"/>
    <n v="4369.3295420000004"/>
    <n v="7694.861899999999"/>
    <n v="14935.051700000002"/>
    <n v="8328.0120000000006"/>
    <m/>
  </r>
  <r>
    <x v="37"/>
    <x v="687"/>
    <n v="4710"/>
    <n v="7623"/>
    <n v="15452"/>
    <n v="8371"/>
    <m/>
  </r>
  <r>
    <x v="37"/>
    <x v="688"/>
    <n v="4435.6407419999996"/>
    <n v="7278.4129000000003"/>
    <n v="15181.826400000005"/>
    <n v="8391.9240000000009"/>
    <m/>
  </r>
  <r>
    <x v="37"/>
    <x v="689"/>
    <n v="4361"/>
    <n v="7424"/>
    <n v="16043"/>
    <n v="8459"/>
    <m/>
  </r>
  <r>
    <x v="37"/>
    <x v="690"/>
    <n v="4358"/>
    <n v="7310"/>
    <n v="16308"/>
    <n v="8436"/>
    <m/>
  </r>
  <r>
    <x v="37"/>
    <x v="691"/>
    <n v="4558"/>
    <n v="7325"/>
    <n v="16543"/>
    <n v="8487"/>
    <m/>
  </r>
  <r>
    <x v="37"/>
    <x v="692"/>
    <n v="4948"/>
    <n v="7226"/>
    <n v="16791"/>
    <n v="8283"/>
    <m/>
  </r>
  <r>
    <x v="38"/>
    <x v="693"/>
    <n v="4659"/>
    <n v="7217"/>
    <n v="15925"/>
    <n v="8155"/>
    <m/>
  </r>
  <r>
    <x v="38"/>
    <x v="694"/>
    <n v="4837.7183473000014"/>
    <n v="7417.5608999999995"/>
    <n v="15542"/>
    <n v="8222"/>
    <m/>
  </r>
  <r>
    <x v="38"/>
    <x v="695"/>
    <n v="4730"/>
    <n v="7435"/>
    <n v="15309"/>
    <n v="7971"/>
    <m/>
  </r>
  <r>
    <x v="38"/>
    <x v="696"/>
    <n v="4879"/>
    <n v="7307"/>
    <n v="14800"/>
    <n v="7871"/>
    <m/>
  </r>
  <r>
    <x v="38"/>
    <x v="697"/>
    <n v="4971"/>
    <n v="7269"/>
    <n v="14746"/>
    <n v="7984"/>
    <m/>
  </r>
  <r>
    <x v="38"/>
    <x v="698"/>
    <n v="4853"/>
    <n v="7058"/>
    <n v="14252"/>
    <n v="8445"/>
    <m/>
  </r>
  <r>
    <x v="38"/>
    <x v="699"/>
    <n v="4913"/>
    <n v="7406"/>
    <n v="14195"/>
    <n v="8581"/>
    <m/>
  </r>
  <r>
    <x v="38"/>
    <x v="700"/>
    <n v="4783"/>
    <n v="7489"/>
    <n v="14296"/>
    <n v="8727"/>
    <m/>
  </r>
  <r>
    <x v="38"/>
    <x v="701"/>
    <n v="4898"/>
    <n v="7549"/>
    <n v="14235"/>
    <n v="8542"/>
    <m/>
  </r>
  <r>
    <x v="38"/>
    <x v="702"/>
    <n v="4893"/>
    <n v="7367"/>
    <n v="14425"/>
    <n v="8324"/>
    <m/>
  </r>
  <r>
    <x v="38"/>
    <x v="703"/>
    <n v="4806"/>
    <n v="7098"/>
    <n v="14084"/>
    <n v="7976"/>
    <m/>
  </r>
  <r>
    <x v="38"/>
    <x v="704"/>
    <n v="4726"/>
    <n v="7238"/>
    <n v="14160"/>
    <n v="8036"/>
    <m/>
  </r>
  <r>
    <x v="38"/>
    <x v="705"/>
    <n v="4600"/>
    <n v="7114"/>
    <n v="13959"/>
    <n v="7996"/>
    <m/>
  </r>
  <r>
    <x v="38"/>
    <x v="706"/>
    <n v="4613"/>
    <n v="7153"/>
    <n v="13790"/>
    <n v="7855"/>
    <m/>
  </r>
  <r>
    <x v="38"/>
    <x v="707"/>
    <n v="4811"/>
    <n v="7062"/>
    <n v="13987"/>
    <n v="7869"/>
    <m/>
  </r>
  <r>
    <x v="38"/>
    <x v="708"/>
    <n v="4850"/>
    <n v="6938"/>
    <n v="13694"/>
    <n v="7952"/>
    <m/>
  </r>
  <r>
    <x v="38"/>
    <x v="709"/>
    <n v="4920"/>
    <n v="7209"/>
    <n v="13723"/>
    <n v="8185"/>
    <m/>
  </r>
  <r>
    <x v="38"/>
    <x v="710"/>
    <n v="5217"/>
    <n v="7519"/>
    <n v="13755"/>
    <n v="8311"/>
    <m/>
  </r>
  <r>
    <x v="38"/>
    <x v="711"/>
    <n v="5299"/>
    <n v="7752"/>
    <n v="13778"/>
    <n v="8233"/>
    <m/>
  </r>
  <r>
    <x v="38"/>
    <x v="712"/>
    <n v="5574"/>
    <n v="7844"/>
    <n v="13796"/>
    <n v="8241"/>
    <m/>
  </r>
  <r>
    <x v="38"/>
    <x v="713"/>
    <n v="5717"/>
    <n v="7910"/>
    <n v="13016"/>
    <n v="8102"/>
    <m/>
  </r>
  <r>
    <x v="39"/>
    <x v="714"/>
    <n v="5800"/>
    <n v="8012"/>
    <n v="12341"/>
    <n v="8183"/>
    <m/>
  </r>
  <r>
    <x v="39"/>
    <x v="715"/>
    <n v="5672"/>
    <n v="8109"/>
    <n v="12475"/>
    <n v="8061"/>
    <m/>
  </r>
  <r>
    <x v="39"/>
    <x v="716"/>
    <n v="5633"/>
    <n v="8174"/>
    <n v="12230"/>
    <n v="8133"/>
    <m/>
  </r>
  <r>
    <x v="39"/>
    <x v="717"/>
    <n v="5876"/>
    <n v="8129"/>
    <n v="12306"/>
    <n v="8083"/>
    <m/>
  </r>
  <r>
    <x v="39"/>
    <x v="718"/>
    <n v="5767"/>
    <n v="7979"/>
    <n v="11943"/>
    <n v="7982"/>
    <m/>
  </r>
  <r>
    <x v="39"/>
    <x v="719"/>
    <n v="5641"/>
    <n v="8089"/>
    <n v="11765"/>
    <n v="8116"/>
    <m/>
  </r>
  <r>
    <x v="39"/>
    <x v="720"/>
    <n v="5331"/>
    <n v="8309"/>
    <n v="11967"/>
    <n v="8198"/>
    <m/>
  </r>
  <r>
    <x v="39"/>
    <x v="721"/>
    <n v="5232"/>
    <n v="8449"/>
    <n v="12450"/>
    <n v="8264"/>
    <m/>
  </r>
  <r>
    <x v="39"/>
    <x v="722"/>
    <n v="5495"/>
    <n v="8562"/>
    <n v="12183"/>
    <n v="8083"/>
    <m/>
  </r>
  <r>
    <x v="39"/>
    <x v="723"/>
    <n v="5482"/>
    <n v="8676"/>
    <n v="12133"/>
    <n v="8049"/>
    <m/>
  </r>
  <r>
    <x v="39"/>
    <x v="724"/>
    <n v="5456"/>
    <n v="8652"/>
    <n v="12155"/>
    <n v="8155"/>
    <m/>
  </r>
  <r>
    <x v="39"/>
    <x v="725"/>
    <n v="5502"/>
    <n v="8770"/>
    <n v="11711"/>
    <n v="8246"/>
    <m/>
  </r>
  <r>
    <x v="39"/>
    <x v="726"/>
    <n v="5614"/>
    <n v="8674"/>
    <n v="11813"/>
    <n v="8180"/>
    <m/>
  </r>
  <r>
    <x v="39"/>
    <x v="727"/>
    <n v="5504"/>
    <n v="8774"/>
    <n v="12145"/>
    <n v="8381"/>
    <m/>
  </r>
  <r>
    <x v="39"/>
    <x v="728"/>
    <n v="5524"/>
    <n v="8913"/>
    <n v="12194"/>
    <n v="8518"/>
    <m/>
  </r>
  <r>
    <x v="39"/>
    <x v="729"/>
    <n v="5541"/>
    <n v="8914"/>
    <n v="12334"/>
    <n v="8426"/>
    <m/>
  </r>
  <r>
    <x v="39"/>
    <x v="730"/>
    <n v="5420"/>
    <n v="8925"/>
    <n v="11812"/>
    <n v="8486"/>
    <m/>
  </r>
  <r>
    <x v="39"/>
    <x v="731"/>
    <n v="5502"/>
    <n v="8441"/>
    <n v="11558"/>
    <n v="8464"/>
    <m/>
  </r>
  <r>
    <x v="39"/>
    <x v="732"/>
    <n v="5411"/>
    <n v="8480"/>
    <n v="11771"/>
    <n v="8821"/>
    <m/>
  </r>
  <r>
    <x v="40"/>
    <x v="733"/>
    <n v="5388"/>
    <n v="8528"/>
    <n v="11808"/>
    <n v="8707"/>
    <m/>
  </r>
  <r>
    <x v="40"/>
    <x v="734"/>
    <n v="5512"/>
    <n v="8449"/>
    <n v="11584"/>
    <n v="8627"/>
    <m/>
  </r>
  <r>
    <x v="40"/>
    <x v="735"/>
    <n v="5396"/>
    <n v="8097"/>
    <n v="10987"/>
    <n v="8300"/>
    <m/>
  </r>
  <r>
    <x v="40"/>
    <x v="736"/>
    <n v="5357"/>
    <n v="8192"/>
    <n v="11099"/>
    <n v="8382"/>
    <m/>
  </r>
  <r>
    <x v="40"/>
    <x v="737"/>
    <n v="5278"/>
    <n v="8199"/>
    <n v="11012"/>
    <n v="8492"/>
    <m/>
  </r>
  <r>
    <x v="40"/>
    <x v="738"/>
    <n v="5114"/>
    <n v="8448"/>
    <n v="10990"/>
    <n v="8427"/>
    <m/>
  </r>
  <r>
    <x v="40"/>
    <x v="739"/>
    <n v="5108"/>
    <n v="8076"/>
    <n v="10898"/>
    <n v="8036"/>
    <m/>
  </r>
  <r>
    <x v="40"/>
    <x v="740"/>
    <n v="4863"/>
    <n v="8187"/>
    <n v="10783"/>
    <n v="8161"/>
    <m/>
  </r>
  <r>
    <x v="40"/>
    <x v="741"/>
    <n v="5028"/>
    <n v="8306"/>
    <n v="10401"/>
    <n v="8297"/>
    <m/>
  </r>
  <r>
    <x v="40"/>
    <x v="742"/>
    <n v="4961"/>
    <n v="8349"/>
    <n v="10302"/>
    <n v="8155"/>
    <m/>
  </r>
  <r>
    <x v="40"/>
    <x v="743"/>
    <n v="5223"/>
    <n v="8261"/>
    <n v="10151"/>
    <n v="8257"/>
    <m/>
  </r>
  <r>
    <x v="40"/>
    <x v="744"/>
    <n v="4840"/>
    <n v="8060"/>
    <n v="10110"/>
    <n v="8062"/>
    <m/>
  </r>
  <r>
    <x v="40"/>
    <x v="745"/>
    <n v="4643"/>
    <n v="8078"/>
    <n v="10077"/>
    <n v="8062"/>
    <m/>
  </r>
  <r>
    <x v="40"/>
    <x v="746"/>
    <n v="4123"/>
    <n v="8118"/>
    <n v="9509"/>
    <n v="8243"/>
    <m/>
  </r>
  <r>
    <x v="40"/>
    <x v="747"/>
    <n v="4120"/>
    <n v="8168"/>
    <n v="9080"/>
    <n v="8238"/>
    <m/>
  </r>
  <r>
    <x v="40"/>
    <x v="748"/>
    <n v="4380"/>
    <n v="8081"/>
    <n v="8706"/>
    <n v="8036"/>
    <m/>
  </r>
  <r>
    <x v="40"/>
    <x v="749"/>
    <n v="4371"/>
    <n v="7997"/>
    <n v="8610"/>
    <n v="8269"/>
    <m/>
  </r>
  <r>
    <x v="40"/>
    <x v="750"/>
    <n v="4355"/>
    <n v="7970"/>
    <n v="8942"/>
    <n v="8376"/>
    <m/>
  </r>
  <r>
    <x v="40"/>
    <x v="751"/>
    <n v="4420"/>
    <n v="7868"/>
    <n v="9533"/>
    <n v="8250"/>
    <m/>
  </r>
  <r>
    <x v="41"/>
    <x v="752"/>
    <n v="4703"/>
    <n v="7726"/>
    <n v="9718"/>
    <n v="8142"/>
    <m/>
  </r>
  <r>
    <x v="41"/>
    <x v="753"/>
    <n v="4454"/>
    <n v="7726"/>
    <n v="9718"/>
    <n v="8145"/>
    <m/>
  </r>
  <r>
    <x v="41"/>
    <x v="754"/>
    <n v="4569"/>
    <n v="8004"/>
    <n v="9911"/>
    <n v="8298"/>
    <m/>
  </r>
  <r>
    <x v="41"/>
    <x v="755"/>
    <n v="4630"/>
    <n v="8026"/>
    <n v="9872"/>
    <n v="8112"/>
    <m/>
  </r>
  <r>
    <x v="41"/>
    <x v="756"/>
    <n v="4557"/>
    <n v="7827"/>
    <n v="9496"/>
    <n v="7734"/>
    <m/>
  </r>
  <r>
    <x v="41"/>
    <x v="757"/>
    <n v="4649"/>
    <n v="7917"/>
    <n v="9586"/>
    <n v="7816"/>
    <m/>
  </r>
  <r>
    <x v="41"/>
    <x v="758"/>
    <n v="4767"/>
    <n v="8092"/>
    <n v="9842"/>
    <n v="7726"/>
    <m/>
  </r>
  <r>
    <x v="41"/>
    <x v="759"/>
    <n v="4811"/>
    <n v="8102"/>
    <n v="9917"/>
    <n v="7652"/>
    <m/>
  </r>
  <r>
    <x v="41"/>
    <x v="760"/>
    <n v="4969"/>
    <n v="8111"/>
    <n v="10166"/>
    <n v="7668"/>
    <m/>
  </r>
  <r>
    <x v="41"/>
    <x v="761"/>
    <n v="5066"/>
    <n v="7918"/>
    <n v="10141"/>
    <n v="7407"/>
    <m/>
  </r>
  <r>
    <x v="41"/>
    <x v="762"/>
    <n v="4903"/>
    <n v="8053"/>
    <n v="10175"/>
    <n v="7446"/>
    <m/>
  </r>
  <r>
    <x v="41"/>
    <x v="763"/>
    <n v="5022"/>
    <n v="7842"/>
    <n v="9857"/>
    <n v="7429"/>
    <m/>
  </r>
  <r>
    <x v="41"/>
    <x v="764"/>
    <n v="5070"/>
    <n v="7655"/>
    <n v="10161"/>
    <n v="7466"/>
    <m/>
  </r>
  <r>
    <x v="41"/>
    <x v="765"/>
    <n v="5301"/>
    <n v="7638"/>
    <n v="10387"/>
    <n v="7465"/>
    <m/>
  </r>
  <r>
    <x v="41"/>
    <x v="766"/>
    <n v="5256.8794204000005"/>
    <n v="7392.1948000000011"/>
    <n v="9385.8566000000028"/>
    <n v="7465.1120000000001"/>
    <m/>
  </r>
  <r>
    <x v="41"/>
    <x v="767"/>
    <n v="5280.8305960999996"/>
    <n v="7546.1088999999993"/>
    <n v="9732.8757000000005"/>
    <n v="7573.4340000000002"/>
    <m/>
  </r>
  <r>
    <x v="41"/>
    <x v="768"/>
    <n v="5201.7446185000008"/>
    <n v="7545.8979000000008"/>
    <n v="9641.5955999999987"/>
    <n v="7685.973"/>
    <m/>
  </r>
  <r>
    <x v="41"/>
    <x v="769"/>
    <n v="5327.4541551999991"/>
    <n v="7674.9698000000026"/>
    <n v="9524.6154000000024"/>
    <n v="7757.2659999999996"/>
    <m/>
  </r>
  <r>
    <x v="41"/>
    <x v="770"/>
    <n v="5449.8080652999997"/>
    <n v="7605.0029000000013"/>
    <n v="9759.1138999999985"/>
    <n v="7718.6049999999996"/>
    <m/>
  </r>
  <r>
    <x v="41"/>
    <x v="771"/>
    <n v="5333.2075985999982"/>
    <n v="7476.8239000000003"/>
    <n v="9284.0187000000005"/>
    <n v="7657"/>
    <m/>
  </r>
  <r>
    <x v="41"/>
    <x v="772"/>
    <n v="5466.7061229999999"/>
    <n v="7638.4749999999985"/>
    <n v="9193.4285999999975"/>
    <n v="7771.0820000000003"/>
    <m/>
  </r>
  <r>
    <x v="42"/>
    <x v="773"/>
    <n v="5308.6689111999995"/>
    <n v="7645.3568999999989"/>
    <n v="9357.8394999999982"/>
    <n v="7837.3469999999998"/>
    <m/>
  </r>
  <r>
    <x v="42"/>
    <x v="774"/>
    <n v="4966.5306230000006"/>
    <n v="7711.9098999999987"/>
    <n v="9429.3827999999994"/>
    <n v="7885.9949999999999"/>
    <m/>
  </r>
  <r>
    <x v="42"/>
    <x v="775"/>
    <n v="5155.1202229999999"/>
    <n v="7793.9929000000011"/>
    <n v="9404.0398999999998"/>
    <n v="7978.6559999999999"/>
    <m/>
  </r>
  <r>
    <x v="42"/>
    <x v="776"/>
    <n v="4822.1186669999988"/>
    <n v="7708.0339000000004"/>
    <n v="9272.0577000000012"/>
    <n v="8090.6750000000002"/>
    <m/>
  </r>
  <r>
    <x v="42"/>
    <x v="777"/>
    <n v="4762.5360169999985"/>
    <n v="7716.3130000000001"/>
    <n v="9277.6173000000017"/>
    <n v="8272.4279999999999"/>
    <m/>
  </r>
  <r>
    <x v="42"/>
    <x v="778"/>
    <n v="4828.640786599999"/>
    <n v="7872.74"/>
    <n v="9531.9174999999977"/>
    <n v="8365.2440000000006"/>
    <m/>
  </r>
  <r>
    <x v="42"/>
    <x v="779"/>
    <n v="4723.9265720000003"/>
    <n v="7981.5729999999967"/>
    <n v="9735.5318000000007"/>
    <n v="8209.4660000000003"/>
    <m/>
  </r>
  <r>
    <x v="42"/>
    <x v="780"/>
    <n v="4581.0796469999987"/>
    <n v="7879.0160000000005"/>
    <n v="9867.3722000000016"/>
    <n v="8172.2779999999993"/>
    <m/>
  </r>
  <r>
    <x v="42"/>
    <x v="781"/>
    <n v="4173.080481"/>
    <n v="7483.6110000000008"/>
    <n v="9509.7607000000025"/>
    <n v="8157.8919999999989"/>
    <m/>
  </r>
  <r>
    <x v="42"/>
    <x v="782"/>
    <n v="4238.9759080000003"/>
    <n v="7467.2239999999993"/>
    <n v="9604.0259000000005"/>
    <n v="8244.6970000000001"/>
    <m/>
  </r>
  <r>
    <x v="42"/>
    <x v="783"/>
    <n v="4355.0633542999994"/>
    <n v="7442.2339999999995"/>
    <n v="9651.2631000000001"/>
    <n v="8225.5169999999998"/>
    <m/>
  </r>
  <r>
    <x v="42"/>
    <x v="784"/>
    <n v="4203.6958485999994"/>
    <n v="7349.1009999999987"/>
    <n v="9515.9134999999987"/>
    <n v="8093.3129999999992"/>
    <m/>
  </r>
  <r>
    <x v="42"/>
    <x v="785"/>
    <n v="4231.8853079999999"/>
    <n v="7438.690999999998"/>
    <n v="9604.6658999999981"/>
    <n v="8088.168999999999"/>
    <m/>
  </r>
  <r>
    <x v="42"/>
    <x v="786"/>
    <n v="4126.6613084000001"/>
    <n v="7398.5009"/>
    <n v="9577.6799000000028"/>
    <n v="8192.1275000000005"/>
    <m/>
  </r>
  <r>
    <x v="42"/>
    <x v="787"/>
    <n v="4112.1971629999998"/>
    <n v="7479.4568999999992"/>
    <n v="9709.6698000000033"/>
    <n v="8398.5215000000007"/>
    <m/>
  </r>
  <r>
    <x v="42"/>
    <x v="788"/>
    <n v="4321.2955867999999"/>
    <n v="7452.0968000000003"/>
    <n v="9837.8232000000025"/>
    <n v="8485.0295000000006"/>
    <m/>
  </r>
  <r>
    <x v="42"/>
    <x v="789"/>
    <n v="4093.0649214999989"/>
    <n v="7452.0968000000003"/>
    <n v="9737.8243000000002"/>
    <n v="8496.9495000000006"/>
    <m/>
  </r>
  <r>
    <x v="42"/>
    <x v="790"/>
    <n v="4089.4628528999997"/>
    <n v="7637.4959999999983"/>
    <n v="9769.0147000000015"/>
    <n v="8428.6574999999993"/>
    <m/>
  </r>
  <r>
    <x v="42"/>
    <x v="791"/>
    <n v="3933.9993596000004"/>
    <n v="7613.4320000000007"/>
    <n v="9224.2665000000015"/>
    <n v="8365.3935000000001"/>
    <m/>
  </r>
  <r>
    <x v="42"/>
    <x v="792"/>
    <n v="3951.727766"/>
    <n v="7676.4140000000007"/>
    <n v="9293.7114000000001"/>
    <n v="8531.2194999999992"/>
    <m/>
  </r>
  <r>
    <x v="43"/>
    <x v="793"/>
    <n v="4181.1739659999994"/>
    <n v="7718.137999999999"/>
    <n v="9521.309500000003"/>
    <n v="8683.2764999999999"/>
    <m/>
  </r>
  <r>
    <x v="43"/>
    <x v="794"/>
    <n v="3903.7934819999996"/>
    <n v="7796.1529"/>
    <n v="10044.922799999998"/>
    <n v="8445.3775000000005"/>
    <m/>
  </r>
  <r>
    <x v="43"/>
    <x v="795"/>
    <n v="3938.1704818000003"/>
    <n v="7807.3199999999988"/>
    <n v="10119.466899999999"/>
    <n v="8365.1205000000009"/>
    <m/>
  </r>
  <r>
    <x v="43"/>
    <x v="796"/>
    <n v="4017.5844820000002"/>
    <n v="7583.1818999999987"/>
    <n v="9965.4011000000028"/>
    <n v="8403.7294999999995"/>
    <m/>
  </r>
  <r>
    <x v="43"/>
    <x v="797"/>
    <n v="4140.3689820000009"/>
    <n v="7719.8359000000009"/>
    <n v="10031.633399999999"/>
    <n v="8533.4145000000008"/>
    <m/>
  </r>
  <r>
    <x v="43"/>
    <x v="798"/>
    <n v="4007.4996350000001"/>
    <n v="7882.7160000000003"/>
    <n v="10080.408999999996"/>
    <n v="8573.8155000000006"/>
    <m/>
  </r>
  <r>
    <x v="43"/>
    <x v="799"/>
    <n v="4006.8656349999997"/>
    <n v="8017.4409999999989"/>
    <n v="10198.810000000003"/>
    <n v="8472.5745000000006"/>
    <m/>
  </r>
  <r>
    <x v="43"/>
    <x v="800"/>
    <n v="4089.5314850000009"/>
    <n v="8050.9228999999996"/>
    <n v="9692.2633999999998"/>
    <n v="7972.9889999999996"/>
    <m/>
  </r>
  <r>
    <x v="43"/>
    <x v="801"/>
    <n v="4099.9298849999996"/>
    <n v="8149.6420000000007"/>
    <n v="9107.9066000000003"/>
    <n v="8181.4089999999997"/>
    <m/>
  </r>
  <r>
    <x v="43"/>
    <x v="802"/>
    <n v="4220.4547476000007"/>
    <n v="8216.3379999999997"/>
    <n v="9079.7736999999961"/>
    <n v="8246.4279999999999"/>
    <m/>
  </r>
  <r>
    <x v="43"/>
    <x v="803"/>
    <n v="4019.0063139999997"/>
    <n v="8283.1660000000011"/>
    <n v="8838.1919999999991"/>
    <n v="8013.4879999999994"/>
    <m/>
  </r>
  <r>
    <x v="43"/>
    <x v="804"/>
    <n v="3987.1319210000006"/>
    <n v="8173.098"/>
    <n v="8804.3613999999998"/>
    <n v="8014.41"/>
    <m/>
  </r>
  <r>
    <x v="43"/>
    <x v="805"/>
    <n v="3975.8807443000005"/>
    <n v="7888.1849000000002"/>
    <n v="8163.4295999999977"/>
    <n v="8099.2829999999994"/>
    <m/>
  </r>
  <r>
    <x v="43"/>
    <x v="806"/>
    <n v="4020.6706881999999"/>
    <n v="7956.2650000000012"/>
    <n v="8140.7380000000003"/>
    <n v="8275.73"/>
    <m/>
  </r>
  <r>
    <x v="43"/>
    <x v="807"/>
    <n v="4158.7615381999994"/>
    <n v="8115.9380000000019"/>
    <n v="8005.0807000000004"/>
    <n v="8350.4279999999999"/>
    <m/>
  </r>
  <r>
    <x v="43"/>
    <x v="808"/>
    <n v="3987.3721284000017"/>
    <n v="8167.232"/>
    <n v="8147.2260000000006"/>
    <n v="8240.83"/>
    <m/>
  </r>
  <r>
    <x v="43"/>
    <x v="809"/>
    <n v="3958.4622493999996"/>
    <n v="8226.2209999999995"/>
    <n v="8401.9766999999974"/>
    <n v="8144.52"/>
    <m/>
  </r>
  <r>
    <x v="43"/>
    <x v="810"/>
    <n v="4062.9174360000006"/>
    <n v="7994.1130000000003"/>
    <n v="8209.2708999999995"/>
    <n v="7708.0379999999996"/>
    <m/>
  </r>
  <r>
    <x v="43"/>
    <x v="811"/>
    <n v="4074.0306492999998"/>
    <n v="8152.79"/>
    <n v="8394.0383000000002"/>
    <n v="7884.7089999999998"/>
    <m/>
  </r>
  <r>
    <x v="43"/>
    <x v="812"/>
    <n v="4107.382171000002"/>
    <n v="8091.3782000000001"/>
    <n v="8292.9871999999996"/>
    <n v="7987.4650000000001"/>
    <m/>
  </r>
  <r>
    <x v="43"/>
    <x v="813"/>
    <n v="4093.3575410000017"/>
    <n v="8066.8142000000007"/>
    <n v="8353.6795000000002"/>
    <n v="7893.3639999999996"/>
    <m/>
  </r>
  <r>
    <x v="43"/>
    <x v="814"/>
    <n v="4172.5855410000013"/>
    <n v="7919.3842000000022"/>
    <n v="8500.8803000000007"/>
    <n v="7757.3649999999998"/>
    <m/>
  </r>
  <r>
    <x v="44"/>
    <x v="815"/>
    <n v="4002.2956410000006"/>
    <n v="7706.6512000000002"/>
    <n v="8353.883600000001"/>
    <n v="7837.9870000000001"/>
    <m/>
  </r>
  <r>
    <x v="44"/>
    <x v="816"/>
    <n v="4002.2956410000006"/>
    <n v="7706.6512000000002"/>
    <n v="8353.883600000001"/>
    <n v="7837.9870000000001"/>
    <m/>
  </r>
  <r>
    <x v="44"/>
    <x v="817"/>
    <n v="4042.6023468000008"/>
    <n v="7633.2860999999984"/>
    <n v="8869.9628000000048"/>
    <n v="7773.2009999999991"/>
    <m/>
  </r>
  <r>
    <x v="44"/>
    <x v="818"/>
    <n v="4110.7233513000001"/>
    <n v="7901.4241999999995"/>
    <n v="9003.1434999999965"/>
    <n v="7800.8119999999999"/>
    <m/>
  </r>
  <r>
    <x v="44"/>
    <x v="819"/>
    <n v="4187.5847513000017"/>
    <n v="7792.0181999999986"/>
    <n v="8584.2172999999984"/>
    <n v="7569.75"/>
    <m/>
  </r>
  <r>
    <x v="44"/>
    <x v="820"/>
    <n v="4205.9700512999989"/>
    <n v="7753.9221999999991"/>
    <n v="9298.1760999999988"/>
    <n v="7815.351999999999"/>
    <m/>
  </r>
  <r>
    <x v="44"/>
    <x v="821"/>
    <n v="4126.9134513000008"/>
    <n v="7760.3340999999991"/>
    <n v="9301.7802000000011"/>
    <n v="7924.128999999999"/>
    <m/>
  </r>
  <r>
    <x v="44"/>
    <x v="822"/>
    <n v="4161.4706377000011"/>
    <n v="7565.6200999999992"/>
    <n v="9433.7200999999986"/>
    <n v="7897.3259999999991"/>
    <m/>
  </r>
  <r>
    <x v="44"/>
    <x v="823"/>
    <n v="3984.0050302000004"/>
    <n v="7446.3931000000002"/>
    <n v="9721.9777999999988"/>
    <n v="7617.3429999999989"/>
    <m/>
  </r>
  <r>
    <x v="44"/>
    <x v="824"/>
    <n v="4133.7889562"/>
    <n v="7463.5690999999988"/>
    <n v="9986.1178"/>
    <n v="7562.7889999999989"/>
    <m/>
  </r>
  <r>
    <x v="44"/>
    <x v="825"/>
    <n v="3923.1901405000003"/>
    <n v="7126.588999999999"/>
    <n v="10097.686400000001"/>
    <n v="7484.3279999999995"/>
    <m/>
  </r>
  <r>
    <x v="44"/>
    <x v="826"/>
    <n v="3935.6921136000005"/>
    <n v="7134.4689000000008"/>
    <n v="10198.591499999997"/>
    <n v="7543.8119999999999"/>
    <m/>
  </r>
  <r>
    <x v="44"/>
    <x v="827"/>
    <n v="3935.6921136000005"/>
    <n v="7134.4689000000008"/>
    <n v="10198.591499999997"/>
    <n v="7543.8119999999999"/>
    <m/>
  </r>
  <r>
    <x v="44"/>
    <x v="828"/>
    <n v="3795.5908441000006"/>
    <n v="7020.6519000000008"/>
    <n v="9923.7808999999979"/>
    <n v="7408.4105"/>
    <m/>
  </r>
  <r>
    <x v="44"/>
    <x v="829"/>
    <n v="3794.1599591000008"/>
    <n v="6864.8429000000006"/>
    <n v="9831.5429000000004"/>
    <n v="7407.1124999999993"/>
    <m/>
  </r>
  <r>
    <x v="45"/>
    <x v="830"/>
    <n v="3865.5011449999993"/>
    <n v="6533.7609000000002"/>
    <n v="9359.0434999999998"/>
    <n v="7311.628999999999"/>
    <m/>
  </r>
  <r>
    <x v="45"/>
    <x v="831"/>
    <n v="3959.0688449999998"/>
    <n v="6366.2148999999999"/>
    <n v="9367.124600000001"/>
    <n v="7518.6509999999998"/>
    <m/>
  </r>
  <r>
    <x v="45"/>
    <x v="832"/>
    <n v="3791.2885449999999"/>
    <n v="6186.6158999999998"/>
    <n v="9400.6466"/>
    <n v="7540.4660000000003"/>
    <m/>
  </r>
  <r>
    <x v="45"/>
    <x v="833"/>
    <n v="3724.4400046999999"/>
    <n v="6122.1318999999994"/>
    <n v="9090.1086000000014"/>
    <n v="7465.2950000000001"/>
    <m/>
  </r>
  <r>
    <x v="45"/>
    <x v="834"/>
    <n v="3710.0971311000008"/>
    <n v="6138.3698999999997"/>
    <n v="9179.9661000000015"/>
    <n v="7555.7150000000001"/>
    <m/>
  </r>
  <r>
    <x v="45"/>
    <x v="835"/>
    <n v="3550.3507739999991"/>
    <n v="6349.8379000000014"/>
    <n v="9372.5158999999967"/>
    <n v="7704.2939999999999"/>
    <m/>
  </r>
  <r>
    <x v="45"/>
    <x v="836"/>
    <n v="3423.1544740000004"/>
    <n v="6431.5619000000006"/>
    <n v="9643.2371000000021"/>
    <n v="7732.5059999999994"/>
    <m/>
  </r>
  <r>
    <x v="45"/>
    <x v="837"/>
    <n v="3433.9772050000001"/>
    <n v="6314.4908999999998"/>
    <n v="9670.7586000000028"/>
    <n v="7776.6729999999989"/>
    <m/>
  </r>
  <r>
    <x v="45"/>
    <x v="838"/>
    <n v="3518.4473050000011"/>
    <n v="6061.8358999999991"/>
    <n v="9794.0877999999993"/>
    <n v="7882.5649999999987"/>
    <m/>
  </r>
  <r>
    <x v="45"/>
    <x v="839"/>
    <n v="3598.4904050000005"/>
    <n v="6213.0959000000012"/>
    <n v="9909.7851999999984"/>
    <n v="8029.2639999999992"/>
    <m/>
  </r>
  <r>
    <x v="45"/>
    <x v="840"/>
    <n v="3765.2322933000014"/>
    <n v="6369.5458999999992"/>
    <n v="10361.989999999998"/>
    <n v="8263.1560000000009"/>
    <m/>
  </r>
  <r>
    <x v="45"/>
    <x v="841"/>
    <n v="3684.1935998000013"/>
    <n v="6370.9488999999994"/>
    <n v="10536.749500000002"/>
    <n v="8277.3469999999998"/>
    <m/>
  </r>
  <r>
    <x v="45"/>
    <x v="842"/>
    <n v="3661.703115400001"/>
    <n v="6364.7808999999997"/>
    <n v="10786.9085"/>
    <n v="8101.4499999999989"/>
    <m/>
  </r>
  <r>
    <x v="45"/>
    <x v="843"/>
    <n v="3720.9744361000003"/>
    <n v="6286.9960000000001"/>
    <n v="10233.215400000001"/>
    <n v="7661.9889999999996"/>
    <m/>
  </r>
  <r>
    <x v="45"/>
    <x v="844"/>
    <n v="3698.6580483000012"/>
    <n v="6635.3000999999995"/>
    <n v="10226.328799999997"/>
    <n v="7850.28"/>
    <m/>
  </r>
  <r>
    <x v="45"/>
    <x v="845"/>
    <n v="3846.7272338000012"/>
    <n v="6804.6451000000006"/>
    <n v="10390.059199999996"/>
    <n v="7831.2709999999997"/>
    <m/>
  </r>
  <r>
    <x v="45"/>
    <x v="846"/>
    <n v="3693.9073529999996"/>
    <n v="6952.4061000000011"/>
    <n v="10342.199500000002"/>
    <n v="7606.5640000000003"/>
    <m/>
  </r>
  <r>
    <x v="45"/>
    <x v="847"/>
    <n v="3719.7162134"/>
    <n v="7058.4020999999993"/>
    <n v="10362.195799999998"/>
    <n v="7328.4605000000001"/>
    <m/>
  </r>
  <r>
    <x v="45"/>
    <x v="848"/>
    <n v="3884.3313253000006"/>
    <n v="6951.8199000000004"/>
    <n v="9900.7883000000002"/>
    <n v="7104.0195000000003"/>
    <m/>
  </r>
  <r>
    <x v="45"/>
    <x v="849"/>
    <n v="3888.8244915000005"/>
    <n v="7068.6099000000004"/>
    <n v="10015.081499999997"/>
    <n v="7212.4035000000003"/>
    <m/>
  </r>
  <r>
    <x v="45"/>
    <x v="850"/>
    <n v="3997.9878750000003"/>
    <n v="6978.1608999999999"/>
    <n v="10235.396499999999"/>
    <n v="7239.8355000000001"/>
    <m/>
  </r>
  <r>
    <x v="46"/>
    <x v="851"/>
    <n v="3895.5321749999998"/>
    <n v="6850.9069"/>
    <n v="10109.493999999999"/>
    <n v="7025.5315000000001"/>
    <m/>
  </r>
  <r>
    <x v="46"/>
    <x v="852"/>
    <n v="3975.5734749999992"/>
    <n v="6819.4758999999995"/>
    <n v="10203.001200000001"/>
    <n v="6943.7494999999999"/>
    <m/>
  </r>
  <r>
    <x v="46"/>
    <x v="853"/>
    <n v="3975.5734749999992"/>
    <n v="6819.4758999999995"/>
    <n v="10203.001200000001"/>
    <n v="6943.7494999999999"/>
    <m/>
  </r>
  <r>
    <x v="46"/>
    <x v="854"/>
    <n v="3994.4202749999999"/>
    <n v="6680.1239999999998"/>
    <n v="10072.040099999998"/>
    <n v="6906.7134999999998"/>
    <m/>
  </r>
  <r>
    <x v="46"/>
    <x v="855"/>
    <n v="4096.6214668999992"/>
    <n v="6797.3128999999999"/>
    <n v="10541.817899999998"/>
    <n v="7281.8315000000002"/>
    <m/>
  </r>
  <r>
    <x v="46"/>
    <x v="856"/>
    <n v="3937.8281250000005"/>
    <n v="6878.9378999999999"/>
    <n v="10640.995499999999"/>
    <n v="7465.3114999999998"/>
    <m/>
  </r>
  <r>
    <x v="46"/>
    <x v="857"/>
    <n v="4084.944625000001"/>
    <n v="7064.4098999999997"/>
    <n v="11256.960700000003"/>
    <n v="7602.0609999999997"/>
    <m/>
  </r>
  <r>
    <x v="46"/>
    <x v="858"/>
    <n v="4163.0326249999998"/>
    <n v="6877.2708999999995"/>
    <n v="10641.846600000004"/>
    <n v="7217.5259999999998"/>
    <m/>
  </r>
  <r>
    <x v="46"/>
    <x v="859"/>
    <n v="4341.8032690000009"/>
    <n v="7199.5879999999997"/>
    <n v="10559.5926"/>
    <n v="7705.4040000000005"/>
    <m/>
  </r>
  <r>
    <x v="46"/>
    <x v="860"/>
    <n v="4184.0102690000003"/>
    <n v="7227.1890000000003"/>
    <n v="10356.783899999999"/>
    <n v="7854.9"/>
    <m/>
  </r>
  <r>
    <x v="46"/>
    <x v="861"/>
    <n v="4345.821418999999"/>
    <n v="7265.634"/>
    <n v="10376.0442"/>
    <n v="7618.5259999999998"/>
    <m/>
  </r>
  <r>
    <x v="46"/>
    <x v="862"/>
    <n v="4446.2487190000002"/>
    <n v="7170.424"/>
    <n v="9625.7346999999991"/>
    <n v="7385.82"/>
    <m/>
  </r>
  <r>
    <x v="46"/>
    <x v="863"/>
    <n v="4383.7953324999999"/>
    <n v="7295.2959999999994"/>
    <n v="9845.1732999999986"/>
    <n v="7642.8950000000004"/>
    <m/>
  </r>
  <r>
    <x v="46"/>
    <x v="864"/>
    <n v="4267.6793833999991"/>
    <n v="7336.6338999999998"/>
    <n v="10089.220799999996"/>
    <n v="7662.25"/>
    <m/>
  </r>
  <r>
    <x v="46"/>
    <x v="865"/>
    <n v="4117.4874200000004"/>
    <n v="7324.9549999999999"/>
    <n v="10152.1718"/>
    <n v="7529.326"/>
    <m/>
  </r>
  <r>
    <x v="46"/>
    <x v="866"/>
    <n v="4235.566108"/>
    <n v="7203.1260000000002"/>
    <n v="10571.250100000003"/>
    <n v="7717.25"/>
    <m/>
  </r>
  <r>
    <x v="46"/>
    <x v="867"/>
    <n v="4213.4237207999995"/>
    <n v="6563.09"/>
    <n v="10202.344400000004"/>
    <n v="7202.3225000000002"/>
    <m/>
  </r>
  <r>
    <x v="46"/>
    <x v="868"/>
    <n v="4249.0075051999993"/>
    <n v="6539.0549999999985"/>
    <n v="9550.8622000000014"/>
    <n v="7208.8630000000003"/>
    <m/>
  </r>
  <r>
    <x v="46"/>
    <x v="869"/>
    <n v="4195.8921829999999"/>
    <n v="6675.7279999999992"/>
    <n v="9809.8439999999991"/>
    <n v="7261.2380000000003"/>
    <m/>
  </r>
  <r>
    <x v="46"/>
    <x v="870"/>
    <n v="4248.9999853000008"/>
    <n v="6821.4139999999998"/>
    <n v="9575.1305000000029"/>
    <n v="7739.0360000000001"/>
    <m/>
  </r>
  <r>
    <x v="46"/>
    <x v="871"/>
    <n v="4307.2507859999996"/>
    <n v="6940.8360000000002"/>
    <n v="9664.0006999999987"/>
    <n v="7771.9409999999998"/>
    <m/>
  </r>
  <r>
    <x v="47"/>
    <x v="872"/>
    <n v="4354.7991860000011"/>
    <n v="6386.4809999999998"/>
    <n v="9206.8131999999987"/>
    <n v="7522.0910000000003"/>
    <m/>
  </r>
  <r>
    <x v="47"/>
    <x v="873"/>
    <n v="4328.3594119999998"/>
    <n v="6605.2569999999996"/>
    <n v="9347.7569000000021"/>
    <n v="7747.2439999999997"/>
    <m/>
  </r>
  <r>
    <x v="47"/>
    <x v="874"/>
    <n v="4257.5937119999999"/>
    <n v="6552.3009999999995"/>
    <n v="9413.5653999999995"/>
    <n v="7807.5339999999997"/>
    <m/>
  </r>
  <r>
    <x v="47"/>
    <x v="875"/>
    <n v="4203.0130688999989"/>
    <n v="6628.7860000000001"/>
    <n v="9557.8596000000034"/>
    <n v="7870.683"/>
    <m/>
  </r>
  <r>
    <x v="47"/>
    <x v="876"/>
    <n v="4300.9528040000005"/>
    <n v="6212.3218999999999"/>
    <n v="9296.2079999999987"/>
    <n v="7774.8680000000004"/>
    <m/>
  </r>
  <r>
    <x v="47"/>
    <x v="877"/>
    <n v="4397.7037980000005"/>
    <n v="6306.2799000000005"/>
    <n v="9412.108400000001"/>
    <n v="7953.1220000000003"/>
    <m/>
  </r>
  <r>
    <x v="47"/>
    <x v="878"/>
    <n v="4522.5832387999981"/>
    <n v="6193.1949999999997"/>
    <n v="9661.4138999999996"/>
    <n v="7969.8850000000002"/>
    <m/>
  </r>
  <r>
    <x v="47"/>
    <x v="879"/>
    <n v="4340.7838120000006"/>
    <n v="6275.4968999999992"/>
    <n v="9678.5208999999977"/>
    <n v="7650.8305"/>
    <m/>
  </r>
  <r>
    <x v="47"/>
    <x v="880"/>
    <n v="4399.0575440000002"/>
    <n v="6377.6389000000008"/>
    <n v="9547.1323999999986"/>
    <n v="7673.4475000000002"/>
    <m/>
  </r>
  <r>
    <x v="47"/>
    <x v="881"/>
    <n v="4515.154005100002"/>
    <n v="6018.3329000000012"/>
    <n v="9339.1203999999998"/>
    <n v="7513.1944999999996"/>
    <m/>
  </r>
  <r>
    <x v="47"/>
    <x v="882"/>
    <n v="4837.7183473000014"/>
    <n v="6155.6408999999994"/>
    <n v="8773.6718999999994"/>
    <n v="7676.0394999999999"/>
    <m/>
  </r>
  <r>
    <x v="48"/>
    <x v="883"/>
    <m/>
    <m/>
    <m/>
    <m/>
    <m/>
  </r>
  <r>
    <x v="48"/>
    <x v="883"/>
    <m/>
    <m/>
    <m/>
    <m/>
    <m/>
  </r>
  <r>
    <x v="48"/>
    <x v="883"/>
    <m/>
    <m/>
    <m/>
    <m/>
    <m/>
  </r>
  <r>
    <x v="48"/>
    <x v="883"/>
    <m/>
    <m/>
    <m/>
    <m/>
    <m/>
  </r>
  <r>
    <x v="48"/>
    <x v="883"/>
    <m/>
    <m/>
    <m/>
    <m/>
    <m/>
  </r>
  <r>
    <x v="48"/>
    <x v="883"/>
    <m/>
    <m/>
    <m/>
    <m/>
    <m/>
  </r>
  <r>
    <x v="48"/>
    <x v="883"/>
    <m/>
    <m/>
    <m/>
    <m/>
    <m/>
  </r>
  <r>
    <x v="48"/>
    <x v="883"/>
    <m/>
    <m/>
    <m/>
    <m/>
    <m/>
  </r>
  <r>
    <x v="48"/>
    <x v="883"/>
    <m/>
    <m/>
    <m/>
    <m/>
    <m/>
  </r>
  <r>
    <x v="48"/>
    <x v="883"/>
    <m/>
    <m/>
    <m/>
    <m/>
    <m/>
  </r>
  <r>
    <x v="48"/>
    <x v="883"/>
    <m/>
    <m/>
    <m/>
    <m/>
    <m/>
  </r>
  <r>
    <x v="48"/>
    <x v="883"/>
    <m/>
    <m/>
    <m/>
    <m/>
    <m/>
  </r>
  <r>
    <x v="48"/>
    <x v="883"/>
    <m/>
    <m/>
    <m/>
    <m/>
    <m/>
  </r>
  <r>
    <x v="48"/>
    <x v="883"/>
    <m/>
    <m/>
    <m/>
    <m/>
    <m/>
  </r>
  <r>
    <x v="48"/>
    <x v="883"/>
    <m/>
    <m/>
    <m/>
    <m/>
    <m/>
  </r>
  <r>
    <x v="48"/>
    <x v="883"/>
    <m/>
    <m/>
    <m/>
    <m/>
    <m/>
  </r>
  <r>
    <x v="48"/>
    <x v="883"/>
    <m/>
    <m/>
    <m/>
    <m/>
    <m/>
  </r>
  <r>
    <x v="48"/>
    <x v="883"/>
    <m/>
    <m/>
    <m/>
    <m/>
    <m/>
  </r>
  <r>
    <x v="48"/>
    <x v="883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5" indent="0" compact="0" compactData="0" gridDropZones="1" multipleFieldFilters="0" chartFormat="19">
  <location ref="A1:B8" firstHeaderRow="1" firstDataRow="2" firstDataCol="1"/>
  <pivotFields count="8">
    <pivotField compact="0" outline="0" showAll="0" defaultSubtotal="0"/>
    <pivotField compact="0" numFmtId="9" outline="0" showAll="0" defaultSubtotal="0"/>
    <pivotField compact="0" numFmtId="1" outline="0" showAll="0" defaultSubtotal="0"/>
    <pivotField compact="0" numFmtId="1" outline="0" showAll="0" defaultSubtotal="0"/>
    <pivotField compact="0" numFmtId="1" outline="0" showAll="0" defaultSubtotal="0"/>
    <pivotField axis="axisRow" compact="0" outline="0" showAll="0" defaultSubtotal="0">
      <items count="21">
        <item m="1" x="8"/>
        <item m="1" x="11"/>
        <item m="1" x="17"/>
        <item m="1" x="20"/>
        <item m="1" x="6"/>
        <item m="1" x="14"/>
        <item m="1" x="10"/>
        <item m="1" x="18"/>
        <item m="1" x="19"/>
        <item m="1" x="9"/>
        <item m="1" x="7"/>
        <item x="0"/>
        <item x="2"/>
        <item m="1" x="12"/>
        <item x="3"/>
        <item m="1" x="15"/>
        <item m="1" x="13"/>
        <item x="4"/>
        <item x="5"/>
        <item m="1" x="16"/>
        <item x="1"/>
      </items>
    </pivotField>
    <pivotField axis="axisCol" compact="0" outline="0" showAll="0" defaultSubtotal="0">
      <items count="2">
        <item x="0"/>
        <item m="1" x="1"/>
      </items>
    </pivotField>
    <pivotField dataField="1" compact="0" outline="0" showAll="0" defaultSubtotal="0"/>
  </pivotFields>
  <rowFields count="1">
    <field x="5"/>
  </rowFields>
  <rowItems count="6">
    <i>
      <x v="11"/>
    </i>
    <i>
      <x v="12"/>
    </i>
    <i>
      <x v="14"/>
    </i>
    <i>
      <x v="17"/>
    </i>
    <i>
      <x v="18"/>
    </i>
    <i>
      <x v="20"/>
    </i>
  </rowItems>
  <colFields count="1">
    <field x="6"/>
  </colFields>
  <colItems count="1">
    <i>
      <x/>
    </i>
  </colItems>
  <dataFields count="1">
    <dataField name="Sum of Capacity" fld="7" baseField="0" baseItem="0"/>
  </dataFields>
  <formats count="4">
    <format dxfId="3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4">
      <pivotArea dataOnly="0" labelOnly="1" outline="0" fieldPosition="0">
        <references count="2">
          <reference field="4294967294" count="1" selected="0">
            <x v="0"/>
          </reference>
          <reference field="6" count="0"/>
        </references>
      </pivotArea>
    </format>
    <format dxfId="3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2">
      <pivotArea dataOnly="0" labelOnly="1" outline="0" fieldPosition="0">
        <references count="2">
          <reference field="4294967294" count="1" selected="0">
            <x v="0"/>
          </reference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2764">
  <location ref="A1:C14" firstHeaderRow="0" firstDataRow="1" firstDataCol="1"/>
  <pivotFields count="9">
    <pivotField axis="axisRow" showAll="0" sortType="ascending">
      <items count="9">
        <item m="1" x="7"/>
        <item x="3"/>
        <item h="1" x="4"/>
        <item x="5"/>
        <item x="6"/>
        <item x="0"/>
        <item x="1"/>
        <item x="2"/>
        <item t="default"/>
      </items>
    </pivotField>
    <pivotField dataField="1" showAll="0" defaultSubtotal="0"/>
    <pivotField axis="axisRow" numFmtId="9" showAll="0">
      <items count="1960">
        <item m="1" x="1439"/>
        <item m="1" x="1873"/>
        <item m="1" x="601"/>
        <item m="1" x="1557"/>
        <item m="1" x="1084"/>
        <item m="1" x="1453"/>
        <item m="1" x="243"/>
        <item m="1" x="38"/>
        <item m="1" x="1740"/>
        <item m="1" x="1614"/>
        <item m="1" x="1346"/>
        <item m="1" x="57"/>
        <item m="1" x="1005"/>
        <item m="1" x="447"/>
        <item m="1" x="88"/>
        <item m="1" x="1302"/>
        <item m="1" x="377"/>
        <item m="1" x="405"/>
        <item m="1" x="1830"/>
        <item m="1" x="47"/>
        <item m="1" x="934"/>
        <item m="1" x="1403"/>
        <item m="1" x="520"/>
        <item m="1" x="1611"/>
        <item x="6"/>
        <item m="1" x="141"/>
        <item m="1" x="924"/>
        <item m="1" x="1456"/>
        <item m="1" x="268"/>
        <item m="1" x="346"/>
        <item m="1" x="701"/>
        <item m="1" x="504"/>
        <item m="1" x="878"/>
        <item m="1" x="1475"/>
        <item m="1" x="1594"/>
        <item m="1" x="962"/>
        <item m="1" x="1122"/>
        <item m="1" x="836"/>
        <item m="1" x="460"/>
        <item m="1" x="737"/>
        <item m="1" x="509"/>
        <item m="1" x="58"/>
        <item m="1" x="1387"/>
        <item m="1" x="1885"/>
        <item m="1" x="210"/>
        <item m="1" x="1181"/>
        <item m="1" x="1911"/>
        <item m="1" x="672"/>
        <item m="1" x="882"/>
        <item m="1" x="740"/>
        <item m="1" x="1825"/>
        <item m="1" x="398"/>
        <item m="1" x="619"/>
        <item m="1" x="465"/>
        <item m="1" x="1081"/>
        <item m="1" x="255"/>
        <item m="1" x="1341"/>
        <item m="1" x="1311"/>
        <item m="1" x="1562"/>
        <item m="1" x="1049"/>
        <item m="1" x="936"/>
        <item m="1" x="1423"/>
        <item m="1" x="49"/>
        <item m="1" x="691"/>
        <item m="1" x="17"/>
        <item m="1" x="1023"/>
        <item m="1" x="1064"/>
        <item m="1" x="892"/>
        <item m="1" x="755"/>
        <item m="1" x="1526"/>
        <item m="1" x="1631"/>
        <item m="1" x="743"/>
        <item m="1" x="1308"/>
        <item m="1" x="884"/>
        <item m="1" x="316"/>
        <item m="1" x="1015"/>
        <item m="1" x="863"/>
        <item m="1" x="686"/>
        <item m="1" x="1633"/>
        <item m="1" x="305"/>
        <item m="1" x="1628"/>
        <item m="1" x="1007"/>
        <item m="1" x="1293"/>
        <item m="1" x="79"/>
        <item m="1" x="1328"/>
        <item m="1" x="862"/>
        <item m="1" x="786"/>
        <item m="1" x="1127"/>
        <item m="1" x="1234"/>
        <item m="1" x="276"/>
        <item m="1" x="431"/>
        <item m="1" x="992"/>
        <item m="1" x="1377"/>
        <item m="1" x="1146"/>
        <item m="1" x="1667"/>
        <item m="1" x="935"/>
        <item m="1" x="277"/>
        <item m="1" x="905"/>
        <item m="1" x="1201"/>
        <item m="1" x="648"/>
        <item m="1" x="966"/>
        <item m="1" x="1171"/>
        <item m="1" x="1669"/>
        <item m="1" x="303"/>
        <item m="1" x="495"/>
        <item m="1" x="670"/>
        <item m="1" x="1847"/>
        <item m="1" x="1229"/>
        <item x="4"/>
        <item m="1" x="342"/>
        <item m="1" x="817"/>
        <item m="1" x="490"/>
        <item m="1" x="832"/>
        <item m="1" x="30"/>
        <item m="1" x="1908"/>
        <item m="1" x="1421"/>
        <item m="1" x="1801"/>
        <item m="1" x="1549"/>
        <item m="1" x="546"/>
        <item m="1" x="998"/>
        <item m="1" x="1244"/>
        <item m="1" x="1096"/>
        <item m="1" x="315"/>
        <item m="1" x="1320"/>
        <item m="1" x="856"/>
        <item m="1" x="347"/>
        <item m="1" x="41"/>
        <item m="1" x="1643"/>
        <item m="1" x="296"/>
        <item m="1" x="653"/>
        <item m="1" x="353"/>
        <item m="1" x="104"/>
        <item m="1" x="897"/>
        <item m="1" x="370"/>
        <item m="1" x="45"/>
        <item m="1" x="1514"/>
        <item m="1" x="680"/>
        <item m="1" x="1272"/>
        <item m="1" x="1062"/>
        <item m="1" x="633"/>
        <item m="1" x="250"/>
        <item m="1" x="876"/>
        <item m="1" x="549"/>
        <item m="1" x="512"/>
        <item m="1" x="1925"/>
        <item m="1" x="1709"/>
        <item m="1" x="1187"/>
        <item m="1" x="1312"/>
        <item m="1" x="1901"/>
        <item m="1" x="427"/>
        <item m="1" x="1427"/>
        <item m="1" x="539"/>
        <item m="1" x="1069"/>
        <item m="1" x="1500"/>
        <item m="1" x="1052"/>
        <item m="1" x="182"/>
        <item m="1" x="374"/>
        <item m="1" x="1206"/>
        <item m="1" x="781"/>
        <item m="1" x="152"/>
        <item m="1" x="272"/>
        <item m="1" x="20"/>
        <item m="1" x="900"/>
        <item m="1" x="1028"/>
        <item m="1" x="986"/>
        <item m="1" x="204"/>
        <item m="1" x="610"/>
        <item m="1" x="598"/>
        <item m="1" x="776"/>
        <item m="1" x="865"/>
        <item m="1" x="688"/>
        <item m="1" x="124"/>
        <item m="1" x="334"/>
        <item m="1" x="275"/>
        <item m="1" x="676"/>
        <item m="1" x="290"/>
        <item m="1" x="1232"/>
        <item m="1" x="789"/>
        <item m="1" x="437"/>
        <item m="1" x="1205"/>
        <item m="1" x="1607"/>
        <item m="1" x="657"/>
        <item m="1" x="177"/>
        <item m="1" x="1689"/>
        <item m="1" x="1522"/>
        <item m="1" x="1172"/>
        <item m="1" x="956"/>
        <item m="1" x="575"/>
        <item m="1" x="613"/>
        <item m="1" x="1314"/>
        <item m="1" x="531"/>
        <item m="1" x="1267"/>
        <item m="1" x="299"/>
        <item m="1" x="1404"/>
        <item m="1" x="216"/>
        <item m="1" x="1309"/>
        <item m="1" x="721"/>
        <item m="1" x="397"/>
        <item m="1" x="1938"/>
        <item m="1" x="1630"/>
        <item m="1" x="578"/>
        <item m="1" x="1252"/>
        <item m="1" x="1907"/>
        <item m="1" x="1322"/>
        <item m="1" x="1066"/>
        <item m="1" x="1396"/>
        <item m="1" x="1384"/>
        <item m="1" x="1856"/>
        <item m="1" x="252"/>
        <item m="1" x="1379"/>
        <item m="1" x="805"/>
        <item m="1" x="1554"/>
        <item m="1" x="1304"/>
        <item m="1" x="1547"/>
        <item m="1" x="824"/>
        <item m="1" x="874"/>
        <item m="1" x="700"/>
        <item m="1" x="286"/>
        <item m="1" x="831"/>
        <item m="1" x="704"/>
        <item m="1" x="61"/>
        <item m="1" x="185"/>
        <item m="1" x="994"/>
        <item m="1" x="1717"/>
        <item m="1" x="151"/>
        <item m="1" x="170"/>
        <item m="1" x="1647"/>
        <item m="1" x="1173"/>
        <item m="1" x="194"/>
        <item m="1" x="795"/>
        <item m="1" x="829"/>
        <item m="1" x="159"/>
        <item m="1" x="1905"/>
        <item m="1" x="1440"/>
        <item m="1" x="1080"/>
        <item m="1" x="1783"/>
        <item m="1" x="1298"/>
        <item m="1" x="477"/>
        <item m="1" x="1095"/>
        <item m="1" x="1912"/>
        <item m="1" x="442"/>
        <item m="1" x="1693"/>
        <item m="1" x="1852"/>
        <item m="1" x="649"/>
        <item m="1" x="1115"/>
        <item m="1" x="514"/>
        <item m="1" x="1240"/>
        <item m="1" x="240"/>
        <item m="1" x="1536"/>
        <item m="1" x="1400"/>
        <item m="1" x="331"/>
        <item m="1" x="1574"/>
        <item m="1" x="108"/>
        <item m="1" x="1952"/>
        <item m="1" x="1454"/>
        <item m="1" x="784"/>
        <item m="1" x="1537"/>
        <item m="1" x="1872"/>
        <item m="1" x="1523"/>
        <item m="1" x="913"/>
        <item m="1" x="115"/>
        <item m="1" x="1164"/>
        <item m="1" x="1527"/>
        <item m="1" x="1189"/>
        <item m="1" x="1805"/>
        <item m="1" x="1363"/>
        <item m="1" x="1571"/>
        <item m="1" x="1441"/>
        <item m="1" x="726"/>
        <item m="1" x="597"/>
        <item m="1" x="66"/>
        <item m="1" x="533"/>
        <item m="1" x="1846"/>
        <item m="1" x="1780"/>
        <item m="1" x="126"/>
        <item m="1" x="1576"/>
        <item m="1" x="1903"/>
        <item m="1" x="1579"/>
        <item m="1" x="439"/>
        <item m="1" x="984"/>
        <item m="1" x="667"/>
        <item m="1" x="1895"/>
        <item m="1" x="451"/>
        <item m="1" x="754"/>
        <item m="1" x="422"/>
        <item m="1" x="809"/>
        <item m="1" x="114"/>
        <item m="1" x="62"/>
        <item m="1" x="1167"/>
        <item m="1" x="1157"/>
        <item m="1" x="1376"/>
        <item m="1" x="1012"/>
        <item m="1" x="1223"/>
        <item m="1" x="1766"/>
        <item m="1" x="1637"/>
        <item m="1" x="1256"/>
        <item m="1" x="1758"/>
        <item m="1" x="1695"/>
        <item m="1" x="1399"/>
        <item m="1" x="137"/>
        <item m="1" x="953"/>
        <item m="1" x="970"/>
        <item m="1" x="833"/>
        <item m="1" x="1729"/>
        <item m="1" x="67"/>
        <item m="1" x="1048"/>
        <item m="1" x="1382"/>
        <item m="1" x="903"/>
        <item m="1" x="1233"/>
        <item m="1" x="623"/>
        <item m="1" x="1915"/>
        <item m="1" x="1222"/>
        <item m="1" x="1760"/>
        <item m="1" x="1183"/>
        <item m="1" x="1884"/>
        <item m="1" x="1326"/>
        <item m="1" x="1186"/>
        <item m="1" x="918"/>
        <item m="1" x="797"/>
        <item m="1" x="580"/>
        <item m="1" x="1920"/>
        <item m="1" x="880"/>
        <item m="1" x="1539"/>
        <item m="1" x="1855"/>
        <item m="1" x="86"/>
        <item m="1" x="1472"/>
        <item m="1" x="364"/>
        <item m="1" x="1136"/>
        <item m="1" x="1060"/>
        <item m="1" x="907"/>
        <item m="1" x="565"/>
        <item m="1" x="1704"/>
        <item m="1" x="1198"/>
        <item m="1" x="893"/>
        <item m="1" x="181"/>
        <item m="1" x="525"/>
        <item m="1" x="1029"/>
        <item m="1" x="1610"/>
        <item m="1" x="1871"/>
        <item m="1" x="1243"/>
        <item m="1" x="230"/>
        <item m="1" x="1238"/>
        <item m="1" x="665"/>
        <item m="1" x="1799"/>
        <item m="1" x="1896"/>
        <item m="1" x="910"/>
        <item m="1" x="1913"/>
        <item m="1" x="838"/>
        <item m="1" x="1956"/>
        <item m="1" x="620"/>
        <item m="1" x="1620"/>
        <item m="1" x="548"/>
        <item m="1" x="777"/>
        <item m="1" x="841"/>
        <item m="1" x="758"/>
        <item m="1" x="1906"/>
        <item m="1" x="366"/>
        <item m="1" x="1696"/>
        <item m="1" x="842"/>
        <item m="1" x="911"/>
        <item m="1" x="591"/>
        <item m="1" x="1231"/>
        <item m="1" x="1203"/>
        <item m="1" x="224"/>
        <item m="1" x="714"/>
        <item m="1" x="1137"/>
        <item m="1" x="709"/>
        <item m="1" x="488"/>
        <item m="1" x="804"/>
        <item m="1" x="1519"/>
        <item m="1" x="1820"/>
        <item m="1" x="1188"/>
        <item m="1" x="1793"/>
        <item m="1" x="964"/>
        <item m="1" x="1580"/>
        <item m="1" x="412"/>
        <item m="1" x="1351"/>
        <item m="1" x="1697"/>
        <item m="1" x="873"/>
        <item m="1" x="317"/>
        <item m="1" x="1378"/>
        <item m="1" x="1834"/>
        <item m="1" x="483"/>
        <item m="1" x="599"/>
        <item m="1" x="454"/>
        <item m="1" x="1321"/>
        <item m="1" x="1553"/>
        <item m="1" x="643"/>
        <item m="1" x="1372"/>
        <item m="1" x="136"/>
        <item m="1" x="1658"/>
        <item m="1" x="1726"/>
        <item m="1" x="526"/>
        <item m="1" x="788"/>
        <item m="1" x="979"/>
        <item m="1" x="148"/>
        <item m="1" x="178"/>
        <item m="1" x="1734"/>
        <item m="1" x="297"/>
        <item m="1" x="1652"/>
        <item m="1" x="225"/>
        <item m="1" x="174"/>
        <item m="1" x="161"/>
        <item m="1" x="1109"/>
        <item m="1" x="489"/>
        <item m="1" x="395"/>
        <item m="1" x="184"/>
        <item m="1" x="641"/>
        <item m="1" x="1085"/>
        <item m="1" x="270"/>
        <item m="1" x="390"/>
        <item m="1" x="1528"/>
        <item m="1" x="1792"/>
        <item m="1" x="1595"/>
        <item m="1" x="1930"/>
        <item m="1" x="1811"/>
        <item m="1" x="55"/>
        <item m="1" x="668"/>
        <item m="1" x="295"/>
        <item m="1" x="1524"/>
        <item m="1" x="500"/>
        <item m="1" x="191"/>
        <item m="1" x="1951"/>
        <item m="1" x="1944"/>
        <item m="1" x="888"/>
        <item m="1" x="499"/>
        <item m="1" x="570"/>
        <item m="1" x="716"/>
        <item m="1" x="919"/>
        <item m="1" x="547"/>
        <item m="1" x="654"/>
        <item m="1" x="545"/>
        <item m="1" x="1053"/>
        <item m="1" x="666"/>
        <item m="1" x="663"/>
        <item m="1" x="183"/>
        <item m="1" x="1868"/>
        <item m="1" x="594"/>
        <item m="1" x="552"/>
        <item m="1" x="645"/>
        <item m="1" x="946"/>
        <item m="1" x="973"/>
        <item m="1" x="692"/>
        <item m="1" x="1020"/>
        <item m="1" x="629"/>
        <item m="1" x="23"/>
        <item m="1" x="1395"/>
        <item m="1" x="1751"/>
        <item m="1" x="813"/>
        <item m="1" x="304"/>
        <item m="1" x="729"/>
        <item m="1" x="1679"/>
        <item m="1" x="25"/>
        <item m="1" x="1818"/>
        <item m="1" x="1153"/>
        <item m="1" x="960"/>
        <item m="1" x="269"/>
        <item m="1" x="173"/>
        <item m="1" x="515"/>
        <item m="1" x="190"/>
        <item m="1" x="1291"/>
        <item m="1" x="1446"/>
        <item m="1" x="532"/>
        <item m="1" x="1775"/>
        <item m="1" x="980"/>
        <item m="1" x="1437"/>
        <item m="1" x="259"/>
        <item m="1" x="1937"/>
        <item m="1" x="926"/>
        <item m="1" x="1194"/>
        <item m="1" x="571"/>
        <item m="1" x="951"/>
        <item m="1" x="928"/>
        <item m="1" x="796"/>
        <item m="1" x="694"/>
        <item m="1" x="1158"/>
        <item m="1" x="925"/>
        <item m="1" x="965"/>
        <item m="1" x="1545"/>
        <item m="1" x="371"/>
        <item m="1" x="162"/>
        <item m="1" x="265"/>
        <item m="1" x="1622"/>
        <item m="1" x="957"/>
        <item m="1" x="325"/>
        <item m="1" x="219"/>
        <item m="1" x="577"/>
        <item m="1" x="1357"/>
        <item m="1" x="1787"/>
        <item m="1" x="75"/>
        <item m="1" x="1257"/>
        <item m="1" x="1598"/>
        <item m="1" x="1634"/>
        <item m="1" x="380"/>
        <item m="1" x="1565"/>
        <item m="1" x="922"/>
        <item m="1" x="101"/>
        <item m="1" x="1089"/>
        <item m="1" x="324"/>
        <item m="1" x="1942"/>
        <item m="1" x="206"/>
        <item m="1" x="486"/>
        <item m="1" x="1162"/>
        <item m="1" x="1307"/>
        <item m="1" x="375"/>
        <item m="1" x="497"/>
        <item m="1" x="1728"/>
        <item m="1" x="1673"/>
        <item m="1" x="271"/>
        <item m="1" x="879"/>
        <item m="1" x="1288"/>
        <item m="1" x="1675"/>
        <item m="1" x="1777"/>
        <item m="1" x="1515"/>
        <item m="1" x="1600"/>
        <item m="1" x="988"/>
        <item m="1" x="1940"/>
        <item m="1" x="1644"/>
        <item m="1" x="1003"/>
        <item m="1" x="91"/>
        <item m="1" x="569"/>
        <item m="1" x="1004"/>
        <item m="1" x="1953"/>
        <item m="1" x="1310"/>
        <item m="1" x="1112"/>
        <item m="1" x="33"/>
        <item m="1" x="517"/>
        <item m="1" x="1059"/>
        <item m="1" x="350"/>
        <item m="1" x="232"/>
        <item m="1" x="1261"/>
        <item m="1" x="192"/>
        <item m="1" x="830"/>
        <item m="1" x="1226"/>
        <item m="1" x="1831"/>
        <item m="1" x="176"/>
        <item m="1" x="1788"/>
        <item m="1" x="193"/>
        <item m="1" x="1098"/>
        <item m="1" x="249"/>
        <item m="1" x="1138"/>
        <item m="1" x="1827"/>
        <item m="1" x="267"/>
        <item m="1" x="697"/>
        <item m="1" x="703"/>
        <item m="1" x="1119"/>
        <item m="1" x="638"/>
        <item m="1" x="410"/>
        <item m="1" x="363"/>
        <item m="1" x="1882"/>
        <item m="1" x="13"/>
        <item m="1" x="1918"/>
        <item m="1" x="890"/>
        <item m="1" x="1108"/>
        <item m="1" x="1815"/>
        <item m="1" x="135"/>
        <item m="1" x="1123"/>
        <item m="1" x="319"/>
        <item m="1" x="208"/>
        <item m="1" x="1383"/>
        <item m="1" x="27"/>
        <item m="1" x="1570"/>
        <item m="1" x="1338"/>
        <item m="1" x="209"/>
        <item m="1" x="1388"/>
        <item m="1" x="1664"/>
        <item m="1" x="859"/>
        <item m="1" x="1126"/>
        <item m="1" x="207"/>
        <item m="1" x="1056"/>
        <item m="1" x="311"/>
        <item m="1" x="630"/>
        <item m="1" x="1739"/>
        <item m="1" x="15"/>
        <item m="1" x="1418"/>
        <item m="1" x="1508"/>
        <item m="1" x="415"/>
        <item m="1" x="157"/>
        <item m="1" x="1420"/>
        <item m="1" x="1840"/>
        <item m="1" x="1050"/>
        <item m="1" x="1923"/>
        <item m="1" x="1832"/>
        <item m="1" x="1921"/>
        <item m="1" x="1484"/>
        <item m="1" x="426"/>
        <item m="1" x="313"/>
        <item m="1" x="1625"/>
        <item m="1" x="1833"/>
        <item m="1" x="1747"/>
        <item m="1" x="1333"/>
        <item m="1" x="103"/>
        <item m="1" x="105"/>
        <item m="1" x="1214"/>
        <item m="1" x="378"/>
        <item m="1" x="679"/>
        <item m="1" x="1270"/>
        <item m="1" x="168"/>
        <item m="1" x="96"/>
        <item m="1" x="1585"/>
        <item m="1" x="1218"/>
        <item m="1" x="1009"/>
        <item m="1" x="834"/>
        <item m="1" x="1772"/>
        <item m="1" x="1117"/>
        <item m="1" x="1455"/>
        <item m="1" x="1184"/>
        <item m="1" x="1924"/>
        <item m="1" x="1113"/>
        <item m="1" x="1339"/>
        <item m="1" x="718"/>
        <item m="1" x="1926"/>
        <item m="1" x="915"/>
        <item m="1" x="434"/>
        <item m="1" x="1380"/>
        <item m="1" x="1459"/>
        <item m="1" x="640"/>
        <item m="1" x="1371"/>
        <item m="1" x="1593"/>
        <item m="1" x="1251"/>
        <item m="1" x="742"/>
        <item m="1" x="848"/>
        <item m="1" x="1866"/>
        <item m="1" x="1730"/>
        <item m="1" x="1943"/>
        <item m="1" x="421"/>
        <item m="1" x="1870"/>
        <item m="1" x="481"/>
        <item m="1" x="330"/>
        <item m="1" x="635"/>
        <item m="1" x="127"/>
        <item m="1" x="1001"/>
        <item m="1" x="1687"/>
        <item m="1" x="1318"/>
        <item m="1" x="262"/>
        <item m="1" x="678"/>
        <item m="1" x="368"/>
        <item m="1" x="891"/>
        <item m="1" x="1046"/>
        <item m="1" x="811"/>
        <item m="1" x="698"/>
        <item m="1" x="783"/>
        <item m="1" x="835"/>
        <item m="1" x="1070"/>
        <item m="1" x="585"/>
        <item m="1" x="906"/>
        <item m="1" x="217"/>
        <item m="1" x="400"/>
        <item m="1" x="71"/>
        <item m="1" x="1881"/>
        <item m="1" x="1450"/>
        <item m="1" x="1149"/>
        <item m="1" x="769"/>
        <item m="1" x="345"/>
        <item m="1" x="119"/>
        <item m="1" x="341"/>
        <item m="1" x="887"/>
        <item m="1" x="1618"/>
        <item m="1" x="407"/>
        <item m="1" x="550"/>
        <item m="1" x="1878"/>
        <item m="1" x="357"/>
        <item m="1" x="1276"/>
        <item m="1" x="110"/>
        <item m="1" x="1606"/>
        <item m="1" x="524"/>
        <item m="1" x="1285"/>
        <item m="1" x="1044"/>
        <item m="1" x="1279"/>
        <item m="1" x="1919"/>
        <item m="1" x="827"/>
        <item m="1" x="478"/>
        <item m="1" x="1273"/>
        <item m="1" x="1193"/>
        <item m="1" x="1612"/>
        <item m="1" x="1663"/>
        <item m="1" x="1654"/>
        <item m="1" x="1120"/>
        <item m="1" x="1706"/>
        <item m="1" x="1509"/>
        <item m="1" x="414"/>
        <item m="1" x="614"/>
        <item m="1" x="821"/>
        <item m="1" x="1922"/>
        <item m="1" x="1401"/>
        <item m="1" x="916"/>
        <item m="1" x="1185"/>
        <item m="1" x="644"/>
        <item m="1" x="1463"/>
        <item m="1" x="145"/>
        <item m="1" x="576"/>
        <item m="1" x="1627"/>
        <item m="1" x="1230"/>
        <item m="1" x="1078"/>
        <item m="1" x="938"/>
        <item m="1" x="733"/>
        <item m="1" x="793"/>
        <item m="1" x="540"/>
        <item m="1" x="1330"/>
        <item m="1" x="1552"/>
        <item m="1" x="109"/>
        <item m="1" x="1086"/>
        <item m="1" x="573"/>
        <item m="1" x="1409"/>
        <item m="1" x="612"/>
        <item m="1" x="484"/>
        <item m="1" x="221"/>
        <item m="1" x="896"/>
        <item m="1" x="1609"/>
        <item m="1" x="574"/>
        <item m="1" x="1364"/>
        <item m="1" x="555"/>
        <item m="1" x="279"/>
        <item m="1" x="1254"/>
        <item m="1" x="1767"/>
        <item m="1" x="1510"/>
        <item m="1" x="1405"/>
        <item m="1" x="1101"/>
        <item m="1" x="1493"/>
        <item m="1" x="1581"/>
        <item m="1" x="1848"/>
        <item m="1" x="1914"/>
        <item m="1" x="677"/>
        <item m="1" x="958"/>
        <item m="1" x="82"/>
        <item m="1" x="1476"/>
        <item m="1" x="1295"/>
        <item m="1" x="551"/>
        <item m="1" x="579"/>
        <item m="1" x="929"/>
        <item m="1" x="1692"/>
        <item m="1" x="59"/>
        <item m="1" x="937"/>
        <item m="1" x="389"/>
        <item m="1" x="69"/>
        <item m="1" x="967"/>
        <item m="1" x="1803"/>
        <item m="1" x="1795"/>
        <item m="1" x="36"/>
        <item m="1" x="816"/>
        <item m="1" x="1431"/>
        <item m="1" x="1152"/>
        <item m="1" x="902"/>
        <item m="1" x="212"/>
        <item m="1" x="1073"/>
        <item m="1" x="1324"/>
        <item m="1" x="202"/>
        <item m="1" x="402"/>
        <item m="1" x="950"/>
        <item m="1" x="1708"/>
        <item m="1" x="167"/>
        <item m="1" x="196"/>
        <item m="1" x="1668"/>
        <item m="1" x="1890"/>
        <item m="1" x="1648"/>
        <item m="1" x="1711"/>
        <item m="1" x="411"/>
        <item m="1" x="976"/>
        <item m="1" x="355"/>
        <item m="1" x="361"/>
        <item m="1" x="1743"/>
        <item m="1" x="1551"/>
        <item m="1" x="466"/>
        <item m="1" x="513"/>
        <item m="1" x="1738"/>
        <item m="1" x="595"/>
        <item m="1" x="1691"/>
        <item m="1" x="165"/>
        <item m="1" x="1765"/>
        <item m="1" x="1862"/>
        <item m="1" x="1394"/>
        <item m="1" x="464"/>
        <item m="1" x="1566"/>
        <item m="1" x="681"/>
        <item m="1" x="1342"/>
        <item m="1" x="274"/>
        <item m="1" x="288"/>
        <item m="1" x="456"/>
        <item m="1" x="1506"/>
        <item m="1" x="1542"/>
        <item m="1" x="1877"/>
        <item m="1" x="1496"/>
        <item m="1" x="445"/>
        <item m="1" x="1432"/>
        <item m="1" x="801"/>
        <item m="1" x="961"/>
        <item m="1" x="95"/>
        <item m="1" x="1034"/>
        <item m="1" x="605"/>
        <item m="1" x="1071"/>
        <item m="1" x="948"/>
        <item m="1" x="1035"/>
        <item m="1" x="1398"/>
        <item m="1" x="1480"/>
        <item m="1" x="22"/>
        <item m="1" x="455"/>
        <item m="1" x="1082"/>
        <item m="1" x="1407"/>
        <item m="1" x="260"/>
        <item m="1" x="1219"/>
        <item m="1" x="1159"/>
        <item m="1" x="537"/>
        <item m="1" x="1037"/>
        <item m="1" x="1763"/>
        <item m="1" x="283"/>
        <item m="1" x="1543"/>
        <item m="1" x="1176"/>
        <item m="1" x="1678"/>
        <item m="1" x="1280"/>
        <item m="1" x="1646"/>
        <item m="1" x="1590"/>
        <item m="1" x="920"/>
        <item m="1" x="839"/>
        <item m="1" x="1168"/>
        <item m="1" x="1865"/>
        <item m="1" x="1748"/>
        <item m="1" x="1927"/>
        <item m="1" x="1287"/>
        <item m="1" x="1860"/>
        <item m="1" x="593"/>
        <item m="1" x="1494"/>
        <item m="1" x="1213"/>
        <item m="1" x="516"/>
        <item m="1" x="1317"/>
        <item m="1" x="735"/>
        <item m="1" x="1239"/>
        <item m="1" x="1784"/>
        <item m="1" x="28"/>
        <item m="1" x="1457"/>
        <item m="1" x="1898"/>
        <item m="1" x="48"/>
        <item m="1" x="699"/>
        <item m="1" x="213"/>
        <item m="1" x="435"/>
        <item m="1" x="543"/>
        <item m="1" x="1130"/>
        <item m="1" x="615"/>
        <item m="1" x="712"/>
        <item m="1" x="373"/>
        <item m="1" x="289"/>
        <item m="1" x="233"/>
        <item m="1" x="1002"/>
        <item m="1" x="974"/>
        <item m="1" x="1813"/>
        <item m="1" x="1016"/>
        <item m="1" x="195"/>
        <item m="1" x="763"/>
        <item m="1" x="10"/>
        <item m="1" x="281"/>
        <item m="1" x="1386"/>
        <item m="1" x="1785"/>
        <item m="1" x="24"/>
        <item m="1" x="1768"/>
        <item m="1" x="294"/>
        <item m="1" x="1770"/>
        <item m="1" x="154"/>
        <item m="1" x="1588"/>
        <item m="1" x="1102"/>
        <item m="1" x="774"/>
        <item m="1" x="939"/>
        <item m="1" x="1147"/>
        <item m="1" x="785"/>
        <item m="1" x="1097"/>
        <item m="1" x="1045"/>
        <item m="1" x="44"/>
        <item m="1" x="990"/>
        <item m="1" x="1088"/>
        <item m="1" x="713"/>
        <item m="1" x="710"/>
        <item m="1" x="725"/>
        <item m="1" x="1274"/>
        <item m="1" x="134"/>
        <item m="1" x="238"/>
        <item m="1" x="479"/>
        <item m="1" x="469"/>
        <item m="1" x="972"/>
        <item m="1" x="322"/>
        <item m="1" x="1116"/>
        <item m="1" x="1445"/>
        <item m="1" x="871"/>
        <item m="1" x="1105"/>
        <item m="1" x="1769"/>
        <item m="1" x="768"/>
        <item m="1" x="501"/>
        <item m="1" x="1228"/>
        <item m="1" x="592"/>
        <item m="1" x="987"/>
        <item m="1" x="391"/>
        <item m="1" x="927"/>
        <item m="1" x="1794"/>
        <item m="1" x="123"/>
        <item m="1" x="1757"/>
        <item m="1" x="1156"/>
        <item m="1" x="121"/>
        <item m="1" x="1935"/>
        <item m="1" x="894"/>
        <item m="1" x="1265"/>
        <item m="1" x="14"/>
        <item m="1" x="1505"/>
        <item m="1" x="1237"/>
        <item m="1" x="802"/>
        <item m="1" x="1271"/>
        <item m="1" x="1268"/>
        <item m="1" x="149"/>
        <item m="1" x="828"/>
        <item m="1" x="706"/>
        <item m="1" x="1460"/>
        <item m="1" x="1573"/>
        <item m="1" x="241"/>
        <item m="1" x="662"/>
        <item m="1" x="955"/>
        <item m="1" x="326"/>
        <item m="1" x="1143"/>
        <item m="1" x="383"/>
        <item m="1" x="991"/>
        <item m="1" x="285"/>
        <item m="1" x="462"/>
        <item m="1" x="60"/>
        <item m="1" x="1671"/>
        <item m="1" x="607"/>
        <item m="1" x="160"/>
        <item m="1" x="403"/>
        <item m="1" x="429"/>
        <item m="1" x="1773"/>
        <item m="1" x="849"/>
        <item m="1" x="792"/>
        <item m="1" x="746"/>
        <item m="1" x="530"/>
        <item m="1" x="650"/>
        <item m="1" x="850"/>
        <item m="1" x="1336"/>
        <item m="1" x="1592"/>
        <item m="1" x="1778"/>
        <item m="1" x="307"/>
        <item m="1" x="284"/>
        <item m="1" x="852"/>
        <item m="1" x="358"/>
        <item m="1" x="226"/>
        <item m="1" x="1809"/>
        <item m="1" x="1141"/>
        <item m="1" x="502"/>
        <item m="1" x="387"/>
        <item m="1" x="872"/>
        <item m="1" x="11"/>
        <item m="1" x="738"/>
        <item m="1" x="993"/>
        <item m="1" x="90"/>
        <item m="1" x="1266"/>
        <item m="1" x="1178"/>
        <item m="1" x="1369"/>
        <item m="1" x="1343"/>
        <item m="1" x="1248"/>
        <item m="1" x="1200"/>
        <item m="1" x="1391"/>
        <item m="1" x="18"/>
        <item m="1" x="1077"/>
        <item m="1" x="1853"/>
        <item m="1" x="1470"/>
        <item m="1" x="1492"/>
        <item m="1" x="1025"/>
        <item m="1" x="449"/>
        <item m="1" x="815"/>
        <item m="1" x="444"/>
        <item m="1" x="968"/>
        <item m="1" x="399"/>
        <item m="1" x="1741"/>
        <item m="1" x="52"/>
        <item m="1" x="1458"/>
        <item m="1" x="1541"/>
        <item m="1" x="634"/>
        <item m="1" x="337"/>
        <item m="1" x="146"/>
        <item m="1" x="1502"/>
        <item m="1" x="521"/>
        <item m="1" x="494"/>
        <item m="1" x="441"/>
        <item m="1" x="166"/>
        <item m="1" x="84"/>
        <item m="1" x="560"/>
        <item m="1" x="150"/>
        <item m="1" x="1300"/>
        <item m="1" x="1732"/>
        <item m="1" x="1345"/>
        <item m="1" x="1217"/>
        <item m="1" x="1786"/>
        <item m="1" x="1955"/>
        <item m="1" x="554"/>
        <item m="1" x="1670"/>
        <item m="1" x="1754"/>
        <item m="1" x="218"/>
        <item m="1" x="404"/>
        <item m="1" x="1438"/>
        <item m="1" x="1939"/>
        <item m="1" x="877"/>
        <item m="1" x="438"/>
        <item m="1" x="1434"/>
        <item m="1" x="1435"/>
        <item m="1" x="164"/>
        <item m="1" x="128"/>
        <item m="1" x="329"/>
        <item m="1" x="682"/>
        <item m="1" x="480"/>
        <item m="1" x="1821"/>
        <item m="1" x="1867"/>
        <item m="1" x="1561"/>
        <item m="1" x="392"/>
        <item m="1" x="731"/>
        <item m="1" x="1039"/>
        <item m="1" x="858"/>
        <item m="1" x="800"/>
        <item m="1" x="1626"/>
        <item m="1" x="1749"/>
        <item m="1" x="895"/>
        <item m="1" x="556"/>
        <item m="1" x="1710"/>
        <item m="1" x="1817"/>
        <item m="1" x="867"/>
        <item m="1" x="1041"/>
        <item m="1" x="496"/>
        <item m="1" x="142"/>
        <item m="1" x="1891"/>
        <item m="1" x="1674"/>
        <item m="1" x="1042"/>
        <item m="1" x="1163"/>
        <item m="1" x="470"/>
        <item m="1" x="1897"/>
        <item m="1" x="778"/>
        <item m="1" x="1430"/>
        <item m="1" x="179"/>
        <item m="1" x="1851"/>
        <item m="1" x="1051"/>
        <item m="1" x="1688"/>
        <item m="1" x="1428"/>
        <item m="1" x="1599"/>
        <item m="1" x="1182"/>
        <item m="1" x="1520"/>
        <item m="1" x="1854"/>
        <item m="1" x="1329"/>
        <item m="1" x="1283"/>
        <item m="1" x="771"/>
        <item m="1" x="705"/>
        <item m="1" x="1327"/>
        <item m="1" x="382"/>
        <item m="1" x="1742"/>
        <item m="1" x="1246"/>
        <item m="1" x="689"/>
        <item m="1" x="1196"/>
        <item m="1" x="384"/>
        <item m="1" x="43"/>
        <item m="1" x="567"/>
        <item m="1" x="1619"/>
        <item m="1" x="1483"/>
        <item m="1" x="379"/>
        <item m="1" x="773"/>
        <item m="1" x="1558"/>
        <item m="1" x="631"/>
        <item m="1" x="1353"/>
        <item m="1" x="112"/>
        <item m="1" x="914"/>
        <item m="1" x="639"/>
        <item m="1" x="685"/>
        <item m="1" x="636"/>
        <item m="1" x="323"/>
        <item m="1" x="16"/>
        <item m="1" x="544"/>
        <item m="1" x="583"/>
        <item m="1" x="253"/>
        <item m="1" x="446"/>
        <item m="1" x="642"/>
        <item m="1" x="1375"/>
        <item m="1" x="1236"/>
        <item m="1" x="558"/>
        <item m="1" x="997"/>
        <item m="1" x="19"/>
        <item m="1" x="471"/>
        <item m="1" x="1917"/>
        <item m="1" x="292"/>
        <item m="1" x="1518"/>
        <item m="1" x="1451"/>
        <item m="1" x="1761"/>
        <item m="1" x="1362"/>
        <item m="1" x="309"/>
        <item m="1" x="1093"/>
        <item m="1" x="1313"/>
        <item m="1" x="401"/>
        <item m="1" x="1269"/>
        <item m="1" x="557"/>
        <item m="1" x="1264"/>
        <item m="1" x="647"/>
        <item m="1" x="1499"/>
        <item m="1" x="419"/>
        <item m="1" x="9"/>
        <item m="1" x="336"/>
        <item m="1" x="1602"/>
        <item m="1" x="1550"/>
        <item m="1" x="1904"/>
        <item m="1" x="133"/>
        <item m="1" x="767"/>
        <item m="1" x="1482"/>
        <item m="1" x="89"/>
        <item m="1" x="1949"/>
        <item m="1" x="485"/>
        <item m="1" x="1433"/>
        <item m="1" x="1220"/>
        <item m="1" x="1534"/>
        <item m="1" x="886"/>
        <item m="1" x="1259"/>
        <item m="1" x="748"/>
        <item m="1" x="158"/>
        <item m="1" x="855"/>
        <item m="1" x="73"/>
        <item m="1" x="1155"/>
        <item m="1" x="46"/>
        <item m="1" x="1477"/>
        <item m="1" x="1091"/>
        <item m="1" x="720"/>
        <item m="1" x="1567"/>
        <item m="1" x="452"/>
        <item m="1" x="1617"/>
        <item m="1" x="1649"/>
        <item m="1" x="72"/>
        <item m="1" x="1124"/>
        <item m="1" x="1564"/>
        <item m="1" x="1114"/>
        <item m="1" x="822"/>
        <item m="1" x="1210"/>
        <item m="1" x="1125"/>
        <item m="1" x="889"/>
        <item m="1" x="263"/>
        <item m="1" x="118"/>
        <item m="1" x="1750"/>
        <item m="1" x="318"/>
        <item m="1" x="806"/>
        <item m="1" x="717"/>
        <item m="1" x="1352"/>
        <item m="1" x="1370"/>
        <item m="1" x="1094"/>
        <item m="1" x="1449"/>
        <item m="1" x="1204"/>
        <item m="1" x="1672"/>
        <item m="1" x="138"/>
        <item m="1" x="293"/>
        <item m="1" x="1946"/>
        <item m="1" x="187"/>
        <item m="1" x="1436"/>
        <item m="1" x="463"/>
        <item m="1" x="1373"/>
        <item m="1" x="68"/>
        <item m="1" x="675"/>
        <item m="1" x="921"/>
        <item m="1" x="1465"/>
        <item m="1" x="1639"/>
        <item m="1" x="1474"/>
        <item m="1" x="1017"/>
        <item m="1" x="1653"/>
        <item m="1" x="1841"/>
        <item m="1" x="826"/>
        <item m="1" x="443"/>
        <item m="1" x="1486"/>
        <item m="1" x="302"/>
        <item m="1" x="367"/>
        <item m="1" x="1491"/>
        <item m="1" x="814"/>
        <item m="1" x="1836"/>
        <item m="1" x="730"/>
        <item m="1" x="1737"/>
        <item m="1" x="869"/>
        <item m="1" x="1408"/>
        <item m="1" x="1837"/>
        <item m="1" x="584"/>
        <item m="1" x="1179"/>
        <item m="1" x="93"/>
        <item m="1" x="1812"/>
        <item m="1" x="684"/>
        <item m="1" x="1584"/>
        <item m="1" x="1340"/>
        <item m="1" x="50"/>
        <item m="1" x="1074"/>
        <item m="1" x="1315"/>
        <item m="1" x="430"/>
        <item m="1" x="1411"/>
        <item m="1" x="724"/>
        <item m="1" x="1635"/>
        <item m="1" x="1714"/>
        <item m="1" x="113"/>
        <item m="1" x="1301"/>
        <item m="1" x="458"/>
        <item m="1" x="340"/>
        <item m="1" x="1869"/>
        <item m="1" x="1504"/>
        <item m="1" x="1645"/>
        <item m="1" x="1544"/>
        <item m="1" x="846"/>
        <item m="1" x="1365"/>
        <item m="1" x="1422"/>
        <item m="1" x="658"/>
        <item m="1" x="949"/>
        <item m="1" x="339"/>
        <item m="1" x="198"/>
        <item m="1" x="7"/>
        <item m="1" x="1715"/>
        <item m="1" x="1578"/>
        <item m="1" x="749"/>
        <item m="1" x="898"/>
        <item m="1" x="436"/>
        <item m="1" x="1776"/>
        <item m="1" x="300"/>
        <item m="1" x="203"/>
        <item m="1" x="523"/>
        <item m="1" x="467"/>
        <item m="1" x="1019"/>
        <item m="1" x="1297"/>
        <item m="1" x="1262"/>
        <item m="1" x="823"/>
        <item m="1" x="711"/>
        <item m="1" x="881"/>
        <item m="1" x="282"/>
        <item m="1" x="1263"/>
        <item m="1" x="1393"/>
        <item m="1" x="308"/>
        <item m="1" x="1180"/>
        <item m="1" x="432"/>
        <item m="1" x="995"/>
        <item m="1" x="172"/>
        <item m="1" x="147"/>
        <item m="1" x="453"/>
        <item m="1" x="1481"/>
        <item m="1" x="1535"/>
        <item m="1" x="1335"/>
        <item m="1" x="492"/>
        <item m="1" x="847"/>
        <item m="1" x="287"/>
        <item m="1" x="1587"/>
        <item m="1" x="1381"/>
        <item m="1" x="1529"/>
        <item m="1" x="996"/>
        <item m="1" x="1762"/>
        <item m="1" x="1485"/>
        <item m="1" x="1755"/>
        <item m="1" x="1721"/>
        <item m="1" x="1221"/>
        <item m="1" x="1442"/>
        <item m="1" x="63"/>
        <item m="1" x="1368"/>
        <item m="1" x="541"/>
        <item m="1" x="1092"/>
        <item m="1" x="153"/>
        <item m="1" x="1165"/>
        <item m="1" x="564"/>
        <item m="1" x="143"/>
        <item m="1" x="1148"/>
        <item m="1" x="624"/>
        <item m="1" x="1530"/>
        <item m="1" x="1814"/>
        <item m="1" x="298"/>
        <item m="1" x="1666"/>
        <item m="1" x="34"/>
        <item m="1" x="1289"/>
        <item m="1" x="1655"/>
        <item m="1" x="759"/>
        <item m="1" x="1334"/>
        <item m="1" x="506"/>
        <item m="1" x="1880"/>
        <item m="1" x="1934"/>
        <item m="1" x="1325"/>
        <item m="1" x="1661"/>
        <item m="1" x="1858"/>
        <item m="1" x="1151"/>
        <item m="1" x="616"/>
        <item m="1" x="1826"/>
        <item m="1" x="1835"/>
        <item m="1" x="39"/>
        <item m="1" x="780"/>
        <item m="1" x="106"/>
        <item m="1" x="1624"/>
        <item m="1" x="1583"/>
        <item m="1" x="26"/>
        <item m="1" x="1863"/>
        <item m="1" x="561"/>
        <item m="1" x="273"/>
        <item m="1" x="660"/>
        <item m="1" x="396"/>
        <item m="1" x="1503"/>
        <item m="1" x="581"/>
        <item m="1" x="779"/>
        <item m="1" x="1683"/>
        <item m="1" x="975"/>
        <item m="1" x="765"/>
        <item m="1" x="608"/>
        <item m="1" x="1417"/>
        <item m="1" x="487"/>
        <item m="1" x="74"/>
        <item m="1" x="1208"/>
        <item m="1" x="1444"/>
        <item m="1" x="940"/>
        <item m="1" x="1100"/>
        <item m="1" x="1779"/>
        <item m="1" x="1402"/>
        <item m="1" x="1242"/>
        <item m="1" x="617"/>
        <item m="1" x="1160"/>
        <item m="1" x="1175"/>
        <item m="1" x="1079"/>
        <item m="1" x="1316"/>
        <item m="1" x="1616"/>
        <item m="1" x="1224"/>
        <item m="1" x="1461"/>
        <item m="1" x="111"/>
        <item m="1" x="775"/>
        <item m="1" x="1516"/>
        <item m="1" x="1680"/>
        <item m="1" x="1745"/>
        <item m="1" x="669"/>
        <item m="1" x="200"/>
        <item m="1" x="107"/>
        <item m="1" x="1412"/>
        <item m="1" x="904"/>
        <item m="1" x="683"/>
        <item m="1" x="782"/>
        <item m="1" x="756"/>
        <item m="1" x="1299"/>
        <item m="1" x="1641"/>
        <item m="1" x="332"/>
        <item m="1" x="85"/>
        <item m="1" x="1759"/>
        <item m="1" x="1796"/>
        <item m="1" x="1839"/>
        <item m="1" x="1569"/>
        <item m="1" x="952"/>
        <item m="1" x="242"/>
        <item m="1" x="1250"/>
        <item m="1" x="131"/>
        <item m="1" x="977"/>
        <item m="1" x="99"/>
        <item m="1" x="1685"/>
        <item m="1" x="739"/>
        <item m="1" x="941"/>
        <item m="1" x="1348"/>
        <item m="1" x="1292"/>
        <item m="1" x="1000"/>
        <item m="1" x="1727"/>
        <item m="1" x="1941"/>
        <item m="1" x="528"/>
        <item m="1" x="156"/>
        <item m="1" x="1735"/>
        <item m="1" x="440"/>
        <item m="1" x="753"/>
        <item m="1" x="1281"/>
        <item m="1" x="1360"/>
        <item m="1" x="1303"/>
        <item m="1" x="625"/>
        <item m="1" x="1568"/>
        <item m="1" x="266"/>
        <item m="1" x="1791"/>
        <item m="1" x="1133"/>
        <item m="1" x="418"/>
        <item m="1" x="825"/>
        <item m="1" x="1068"/>
        <item m="1" x="1040"/>
        <item m="1" x="125"/>
        <item m="1" x="1170"/>
        <item m="1" x="1425"/>
        <item m="1" x="1385"/>
        <item m="1" x="750"/>
        <item m="1" x="819"/>
        <item m="1" x="352"/>
        <item m="1" x="1144"/>
        <item m="1" x="1638"/>
        <item m="1" x="1629"/>
        <item m="1" x="1177"/>
        <item m="1" x="519"/>
        <item m="1" x="837"/>
        <item m="1" x="1087"/>
        <item m="1" x="1660"/>
        <item m="1" x="1823"/>
        <item m="1" x="428"/>
        <item m="1" x="664"/>
        <item m="1" x="1501"/>
        <item m="1" x="1416"/>
        <item m="1" x="1861"/>
        <item m="1" x="626"/>
        <item m="1" x="764"/>
        <item m="1" x="536"/>
        <item m="1" x="1032"/>
        <item m="1" x="1650"/>
        <item m="1" x="1332"/>
        <item m="1" x="1131"/>
        <item m="1" x="1260"/>
        <item m="1" x="1582"/>
        <item m="1" x="116"/>
        <item m="1" x="1462"/>
        <item m="1" x="1883"/>
        <item m="1" x="409"/>
        <item m="1" x="1642"/>
        <item m="1" x="999"/>
        <item m="1" x="1419"/>
        <item m="1" x="1216"/>
        <item m="1" x="810"/>
        <item m="1" x="1798"/>
        <item m="1" x="1099"/>
        <item m="1" x="1507"/>
        <item m="1" x="51"/>
        <item m="1" x="791"/>
        <item m="1" x="1807"/>
        <item m="1" x="473"/>
        <item m="1" x="1443"/>
        <item m="1" x="923"/>
        <item m="1" x="98"/>
        <item m="1" x="1286"/>
        <item m="1" x="40"/>
        <item m="1" x="425"/>
        <item m="1" x="627"/>
        <item m="1" x="568"/>
        <item m="1" x="1199"/>
        <item m="1" x="715"/>
        <item m="1" x="175"/>
        <item m="1" x="1063"/>
        <item m="1" x="188"/>
        <item m="1" x="1733"/>
        <item m="1" x="582"/>
        <item m="1" x="1572"/>
        <item m="1" x="228"/>
        <item m="1" x="1469"/>
        <item m="1" x="866"/>
        <item m="1" x="1789"/>
        <item m="1" x="727"/>
        <item m="1" x="708"/>
        <item m="1" x="1899"/>
        <item m="1" x="572"/>
        <item m="1" x="1719"/>
        <item m="1" x="381"/>
        <item m="1" x="236"/>
        <item m="1" x="1190"/>
        <item m="1" x="843"/>
        <item m="1" x="1720"/>
        <item m="1" x="603"/>
        <item m="1" x="618"/>
        <item m="1" x="883"/>
        <item m="1" x="333"/>
        <item m="1" x="376"/>
        <item m="1" x="1366"/>
        <item m="1" x="875"/>
        <item m="1" x="1698"/>
        <item m="1" x="695"/>
        <item m="1" x="1771"/>
        <item m="1" x="1278"/>
        <item m="1" x="1021"/>
        <item m="1" x="1575"/>
        <item m="1" x="482"/>
        <item m="1" x="1875"/>
        <item m="1" x="868"/>
        <item m="1" x="385"/>
        <item m="1" x="1195"/>
        <item m="1" x="56"/>
        <item m="1" x="1752"/>
        <item m="1" x="1414"/>
        <item m="1" x="1296"/>
        <item m="1" x="622"/>
        <item m="1" x="1887"/>
        <item m="1" x="1665"/>
        <item m="1" x="1174"/>
        <item m="1" x="1466"/>
        <item m="1" x="1559"/>
        <item m="1" x="1306"/>
        <item m="1" x="989"/>
        <item m="1" x="1061"/>
        <item m="1" x="1103"/>
        <item m="1" x="365"/>
        <item m="1" x="861"/>
        <item m="1" x="144"/>
        <item m="1" x="1928"/>
        <item m="1" x="1822"/>
        <item m="1" x="1894"/>
        <item m="1" x="1716"/>
        <item m="1" x="1699"/>
        <item m="1" x="76"/>
        <item m="1" x="231"/>
        <item m="1" x="1121"/>
        <item m="1" x="37"/>
        <item m="1" x="1132"/>
        <item m="1" x="1478"/>
        <item m="1" x="327"/>
        <item m="1" x="257"/>
        <item m="1" x="596"/>
        <item m="1" x="1929"/>
        <item m="1" x="736"/>
        <item m="1" x="1548"/>
        <item m="1" x="1718"/>
        <item m="1" x="1736"/>
        <item m="1" x="1657"/>
        <item m="1" x="1140"/>
        <item m="1" x="349"/>
        <item m="1" x="604"/>
        <item m="1" x="394"/>
        <item m="1" x="1806"/>
        <item m="1" x="420"/>
        <item m="1" x="770"/>
        <item m="1" x="1011"/>
        <item m="1" x="362"/>
        <item m="1" x="538"/>
        <item m="1" x="140"/>
        <item m="1" x="981"/>
        <item m="1" x="845"/>
        <item m="1" x="244"/>
        <item m="1" x="908"/>
        <item m="1" x="77"/>
        <item m="1" x="510"/>
        <item m="1" x="745"/>
        <item m="1" x="1513"/>
        <item m="1" x="1022"/>
        <item m="1" x="1700"/>
        <item m="1" x="1790"/>
        <item m="1" x="97"/>
        <item m="1" x="1241"/>
        <item m="1" x="1424"/>
        <item m="1" x="1075"/>
        <item m="1" x="632"/>
        <item m="1" x="1932"/>
        <item m="1" x="457"/>
        <item m="1" x="493"/>
        <item m="1" x="844"/>
        <item m="1" x="237"/>
        <item m="1" x="985"/>
        <item m="1" x="534"/>
        <item m="1" x="21"/>
        <item m="1" x="917"/>
        <item m="1" x="1076"/>
        <item m="1" x="857"/>
        <item m="1" x="1615"/>
        <item m="1" x="1512"/>
        <item m="1" x="1392"/>
        <item m="1" x="1139"/>
        <item m="1" x="522"/>
        <item m="1" x="1033"/>
        <item m="1" x="1954"/>
        <item m="1" x="944"/>
        <item m="1" x="1781"/>
        <item m="1" x="1024"/>
        <item m="1" x="671"/>
        <item m="1" x="1842"/>
        <item m="1" x="609"/>
        <item m="1" x="1640"/>
        <item m="1" x="947"/>
        <item m="1" x="673"/>
        <item m="1" x="1083"/>
        <item m="1" x="348"/>
        <item m="1" x="1154"/>
        <item m="1" x="1006"/>
        <item m="1" x="807"/>
        <item m="1" x="728"/>
        <item m="1" x="751"/>
        <item m="1" x="1681"/>
        <item m="1" x="1613"/>
        <item m="1" x="982"/>
        <item m="1" x="1447"/>
        <item m="1" x="1589"/>
        <item m="1" x="1723"/>
        <item m="1" x="328"/>
        <item m="1" x="1712"/>
        <item m="1" x="81"/>
        <item m="1" x="1367"/>
        <item m="1" x="201"/>
        <item m="1" x="351"/>
        <item m="1" x="1713"/>
        <item m="1" x="589"/>
        <item m="1" x="1209"/>
        <item m="1" x="655"/>
        <item m="1" x="1253"/>
        <item m="1" x="235"/>
        <item m="1" x="1945"/>
        <item m="1" x="553"/>
        <item m="1" x="1874"/>
        <item m="1" x="1498"/>
        <item m="1" x="674"/>
        <item m="1" x="416"/>
        <item m="1" x="32"/>
        <item m="1" x="130"/>
        <item m="1" x="359"/>
        <item m="1" x="1145"/>
        <item m="1" x="1849"/>
        <item m="1" x="969"/>
        <item m="1" x="1323"/>
        <item m="1" x="1275"/>
        <item m="1" x="652"/>
        <item m="1" x="1662"/>
        <item m="1" x="1107"/>
        <item m="1" x="70"/>
        <item m="1" x="1202"/>
        <item m="1" x="393"/>
        <item m="1" x="1705"/>
        <item m="1" x="1290"/>
        <item m="1" x="320"/>
        <item m="1" x="1538"/>
        <item m="1" x="1597"/>
        <item m="1" x="741"/>
        <item m="1" x="1601"/>
        <item m="1" x="1356"/>
        <item m="1" x="476"/>
        <item m="1" x="1161"/>
        <item m="1" x="1354"/>
        <item m="1" x="1452"/>
        <item m="1" x="1824"/>
        <item m="1" x="1948"/>
        <item m="1" x="1859"/>
        <item m="1" x="468"/>
        <item m="1" x="930"/>
        <item m="1" x="1344"/>
        <item m="1" x="761"/>
        <item m="1" x="762"/>
        <item m="1" x="42"/>
        <item m="1" x="388"/>
        <item m="1" x="1838"/>
        <item m="1" x="1104"/>
        <item m="1" x="840"/>
        <item m="1" x="1055"/>
        <item m="1" x="1212"/>
        <item m="1" x="1586"/>
        <item m="1" x="1892"/>
        <item m="1" x="1746"/>
        <item m="1" x="29"/>
        <item m="1" x="120"/>
        <item m="1" x="747"/>
        <item m="1" x="507"/>
        <item m="1" x="1701"/>
        <item m="1" x="1879"/>
        <item m="1" x="1556"/>
        <item m="1" x="752"/>
        <item m="1" x="1703"/>
        <item m="1" x="1702"/>
        <item m="1" x="1804"/>
        <item m="1" x="229"/>
        <item m="1" x="1490"/>
        <item m="1" x="87"/>
        <item m="1" x="1488"/>
        <item m="1" x="1844"/>
        <item m="1" x="474"/>
        <item m="1" x="1603"/>
        <item m="1" x="1467"/>
        <item m="1" x="1118"/>
        <item m="1" x="214"/>
        <item m="1" x="215"/>
        <item m="1" x="1724"/>
        <item m="1" x="1247"/>
        <item m="1" x="587"/>
        <item m="1" x="1797"/>
        <item m="1" x="1800"/>
        <item m="1" x="812"/>
        <item m="1" x="696"/>
        <item m="1" x="508"/>
        <item m="1" x="448"/>
        <item m="1" x="408"/>
        <item m="1" x="1429"/>
        <item m="1" x="1129"/>
        <item m="1" x="163"/>
        <item m="1" x="1043"/>
        <item m="1" x="1337"/>
        <item m="1" x="189"/>
        <item m="1" x="80"/>
        <item m="1" x="637"/>
        <item m="1" x="1958"/>
        <item m="1" x="1249"/>
        <item m="1" x="1192"/>
        <item m="1" x="1319"/>
        <item m="1" x="65"/>
        <item m="1" x="586"/>
        <item m="1" x="1682"/>
        <item m="1" x="798"/>
        <item m="1" x="1047"/>
        <item m="1" x="606"/>
        <item m="1" x="1468"/>
        <item m="1" x="1511"/>
        <item m="1" x="1621"/>
        <item m="1" x="932"/>
        <item m="1" x="291"/>
        <item m="1" x="1876"/>
        <item m="1" x="64"/>
        <item m="1" x="1744"/>
        <item m="1" x="503"/>
        <item m="1" x="1802"/>
        <item m="1" x="1910"/>
        <item m="1" x="1651"/>
        <item m="1" x="1134"/>
        <item m="1" x="8"/>
        <item m="1" x="719"/>
        <item m="1" x="1030"/>
        <item m="1" x="35"/>
        <item m="1" x="1135"/>
        <item m="1" x="312"/>
        <item m="1" x="851"/>
        <item m="1" x="369"/>
        <item m="1" x="1677"/>
        <item m="1" x="1426"/>
        <item m="1" x="744"/>
        <item m="1" x="732"/>
        <item m="1" x="853"/>
        <item m="1" x="899"/>
        <item m="1" x="588"/>
        <item m="1" x="186"/>
        <item m="1" x="94"/>
        <item m="1" x="854"/>
        <item m="1" x="723"/>
        <item m="1" x="959"/>
        <item m="1" x="820"/>
        <item m="1" x="1888"/>
        <item m="1" x="251"/>
        <item m="1" x="1397"/>
        <item m="1" x="1471"/>
        <item m="1" x="529"/>
        <item m="1" x="734"/>
        <item m="1" x="1753"/>
        <item m="1" x="1810"/>
        <item m="1" x="1027"/>
        <item m="1" x="535"/>
        <item m="1" x="132"/>
        <item m="1" x="1058"/>
        <item m="1" x="559"/>
        <item m="1" x="1054"/>
        <item m="1" x="1464"/>
        <item m="1" x="223"/>
        <item m="1" x="661"/>
        <item m="1" x="943"/>
        <item m="1" x="1010"/>
        <item m="1" x="656"/>
        <item m="1" x="1819"/>
        <item m="1" x="590"/>
        <item m="1" x="197"/>
        <item m="1" x="1950"/>
        <item m="1" x="1211"/>
        <item m="1" x="1406"/>
        <item m="1" x="344"/>
        <item m="1" x="199"/>
        <item m="1" x="659"/>
        <item m="1" x="475"/>
        <item m="1" x="139"/>
        <item m="1" x="256"/>
        <item m="1" x="450"/>
        <item m="1" x="1106"/>
        <item m="1" x="912"/>
        <item m="1" x="1947"/>
        <item m="1" x="180"/>
        <item m="1" x="1816"/>
        <item m="1" x="1150"/>
        <item m="1" x="406"/>
        <item m="1" x="693"/>
        <item m="1" x="909"/>
        <item m="1" x="278"/>
        <item m="1" x="92"/>
        <item m="1" x="335"/>
        <item m="1" x="1415"/>
        <item m="1" x="1347"/>
        <item m="1" x="942"/>
        <item m="1" x="1036"/>
        <item m="1" x="306"/>
        <item m="1" x="472"/>
        <item m="1" x="314"/>
        <item m="1" x="1227"/>
        <item m="1" x="563"/>
        <item m="1" x="1656"/>
        <item m="1" x="338"/>
        <item m="1" x="205"/>
        <item m="1" x="1555"/>
        <item m="1" x="424"/>
        <item m="1" x="491"/>
        <item m="1" x="628"/>
        <item m="1" x="1065"/>
        <item m="1" x="1756"/>
        <item m="1" x="78"/>
        <item m="1" x="1694"/>
        <item m="1" x="1808"/>
        <item m="1" x="117"/>
        <item m="1" x="651"/>
        <item m="1" x="864"/>
        <item m="1" x="360"/>
        <item m="1" x="566"/>
        <item m="1" x="1489"/>
        <item m="1" x="1957"/>
        <item m="1" x="1018"/>
        <item m="1" x="247"/>
        <item m="1" x="1845"/>
        <item m="1" x="1067"/>
        <item m="1" x="646"/>
        <item m="1" x="808"/>
        <item m="1" x="102"/>
        <item m="1" x="459"/>
        <item m="1" x="354"/>
        <item m="1" x="1889"/>
        <item m="1" x="971"/>
        <item m="1" x="31"/>
        <item m="1" x="602"/>
        <item m="1" x="1902"/>
        <item m="1" x="1359"/>
        <item m="1" x="757"/>
        <item m="1" x="321"/>
        <item m="1" x="1166"/>
        <item m="1" x="461"/>
        <item m="1" x="372"/>
        <item m="1" x="1900"/>
        <item m="1" x="1072"/>
        <item m="1" x="1886"/>
        <item m="1" x="702"/>
        <item m="1" x="600"/>
        <item m="1" x="1374"/>
        <item m="1" x="1591"/>
        <item m="1" x="1031"/>
        <item m="1" x="1686"/>
        <item m="1" x="53"/>
        <item m="1" x="542"/>
        <item m="1" x="562"/>
        <item m="1" x="1829"/>
        <item m="1" x="1707"/>
        <item m="1" x="1525"/>
        <item m="1" x="1936"/>
        <item m="1" x="1659"/>
        <item m="1" x="1350"/>
        <item m="1" x="1215"/>
        <item m="1" x="1057"/>
        <item m="1" x="258"/>
        <item m="1" x="772"/>
        <item m="1" x="1282"/>
        <item m="1" x="1014"/>
        <item m="1" x="1774"/>
        <item m="1" x="222"/>
        <item m="1" x="1245"/>
        <item m="1" x="1197"/>
        <item m="1" x="129"/>
        <item m="1" x="246"/>
        <item m="1" x="1843"/>
        <item m="1" x="356"/>
        <item m="1" x="386"/>
        <item m="1" x="511"/>
        <item m="1" x="248"/>
        <item m="1" x="722"/>
        <item m="1" x="1782"/>
        <item m="1" x="945"/>
        <item m="1" x="621"/>
        <item m="1" x="1090"/>
        <item m="1" x="818"/>
        <item m="1" x="310"/>
        <item m="1" x="1473"/>
        <item m="1" x="1479"/>
        <item m="1" x="83"/>
        <item m="1" x="1389"/>
        <item m="1" x="1605"/>
        <item m="1" x="1909"/>
        <item m="1" x="1497"/>
        <item m="1" x="1636"/>
        <item m="1" x="1517"/>
        <item m="1" x="1623"/>
        <item m="1" x="433"/>
        <item m="1" x="1331"/>
        <item m="1" x="1207"/>
        <item m="1" x="171"/>
        <item m="1" x="1361"/>
        <item m="1" x="933"/>
        <item m="1" x="1632"/>
        <item m="1" x="1487"/>
        <item m="1" x="518"/>
        <item m="1" x="220"/>
        <item m="1" x="1255"/>
        <item m="1" x="1448"/>
        <item m="1" x="1916"/>
        <item m="1" x="1596"/>
        <item m="1" x="787"/>
        <item m="1" x="1358"/>
        <item m="1" x="1277"/>
        <item m="1" x="1563"/>
        <item m="1" x="1111"/>
        <item m="1" x="983"/>
        <item m="1" x="954"/>
        <item m="1" x="1676"/>
        <item m="1" x="978"/>
        <item m="1" x="239"/>
        <item m="1" x="963"/>
        <item m="1" x="687"/>
        <item m="1" x="1413"/>
        <item m="1" x="901"/>
        <item m="1" x="1142"/>
        <item m="1" x="498"/>
        <item m="1" x="885"/>
        <item m="1" x="1284"/>
        <item m="1" x="245"/>
        <item m="1" x="1532"/>
        <item m="1" x="1038"/>
        <item m="1" x="1128"/>
        <item m="1" x="343"/>
        <item m="1" x="794"/>
        <item m="1" x="1608"/>
        <item m="1" x="611"/>
        <item m="1" x="264"/>
        <item m="1" x="1731"/>
        <item m="1" x="1725"/>
        <item m="1" x="301"/>
        <item m="1" x="1235"/>
        <item m="1" x="100"/>
        <item m="1" x="1191"/>
        <item m="1" x="931"/>
        <item m="1" x="1850"/>
        <item m="1" x="261"/>
        <item m="1" x="1026"/>
        <item m="1" x="1225"/>
        <item m="1" x="280"/>
        <item m="1" x="1013"/>
        <item m="1" x="211"/>
        <item m="1" x="707"/>
        <item m="1" x="1933"/>
        <item m="1" x="122"/>
        <item m="1" x="1521"/>
        <item m="1" x="1690"/>
        <item m="1" x="690"/>
        <item m="1" x="1931"/>
        <item m="1" x="1258"/>
        <item m="1" x="1294"/>
        <item m="1" x="505"/>
        <item m="1" x="790"/>
        <item m="1" x="54"/>
        <item m="1" x="234"/>
        <item m="1" x="1864"/>
        <item m="1" x="527"/>
        <item m="1" x="1305"/>
        <item m="1" x="1893"/>
        <item m="1" x="1349"/>
        <item m="1" x="860"/>
        <item m="1" x="169"/>
        <item m="1" x="766"/>
        <item m="1" x="1540"/>
        <item m="1" x="423"/>
        <item m="1" x="1110"/>
        <item m="1" x="413"/>
        <item m="1" x="803"/>
        <item m="1" x="417"/>
        <item m="1" x="1857"/>
        <item m="1" x="1169"/>
        <item m="1" x="12"/>
        <item m="1" x="155"/>
        <item m="1" x="227"/>
        <item m="1" x="1495"/>
        <item m="1" x="1828"/>
        <item m="1" x="1355"/>
        <item m="1" x="1008"/>
        <item m="1" x="799"/>
        <item m="1" x="254"/>
        <item m="1" x="1533"/>
        <item m="1" x="1577"/>
        <item m="1" x="760"/>
        <item m="1" x="870"/>
        <item m="1" x="1604"/>
        <item m="1" x="1390"/>
        <item m="1" x="1560"/>
        <item m="1" x="1546"/>
        <item m="1" x="1410"/>
        <item m="1" x="1684"/>
        <item m="1" x="1764"/>
        <item m="1" x="1722"/>
        <item m="1" x="1531"/>
        <item x="0"/>
        <item x="1"/>
        <item x="2"/>
        <item x="3"/>
        <item x="5"/>
        <item t="default"/>
      </items>
    </pivotField>
    <pivotField numFmtId="1" showAll="0" defaultSubtotal="0"/>
    <pivotField numFmtId="1" showAll="0" defaultSubtotal="0"/>
    <pivotField numFmtId="1" showAll="0" defaultSubtotal="0"/>
    <pivotField showAll="0" defaultSubtotal="0"/>
    <pivotField showAll="0"/>
    <pivotField dataField="1" showAll="0"/>
  </pivotFields>
  <rowFields count="2">
    <field x="0"/>
    <field x="2"/>
  </rowFields>
  <rowItems count="13">
    <i>
      <x v="1"/>
    </i>
    <i r="1">
      <x v="1957"/>
    </i>
    <i>
      <x v="3"/>
    </i>
    <i r="1">
      <x v="1958"/>
    </i>
    <i>
      <x v="4"/>
    </i>
    <i r="1">
      <x v="24"/>
    </i>
    <i>
      <x v="5"/>
    </i>
    <i r="1">
      <x v="1954"/>
    </i>
    <i>
      <x v="6"/>
    </i>
    <i r="1">
      <x v="1955"/>
    </i>
    <i>
      <x v="7"/>
    </i>
    <i r="1">
      <x v="1956"/>
    </i>
    <i t="grand">
      <x/>
    </i>
  </rowItems>
  <colFields count="1">
    <field x="-2"/>
  </colFields>
  <colItems count="2">
    <i>
      <x/>
    </i>
    <i i="1">
      <x v="1"/>
    </i>
  </colItems>
  <dataFields count="2">
    <dataField name="Capacity " fld="8" baseField="5" baseItem="0"/>
    <dataField name="Occupancy " fld="1" baseField="5" baseItem="0"/>
  </dataFields>
  <chartFormats count="192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9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7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2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73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3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31" format="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31" format="7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18" format="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18" format="6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19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19" format="7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30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"/>
          </reference>
        </references>
      </pivotArea>
    </chartFormat>
    <chartFormat chart="12" format="31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" format="31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"/>
          </reference>
        </references>
      </pivotArea>
    </chartFormat>
    <chartFormat chart="12" format="31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1"/>
          </reference>
        </references>
      </pivotArea>
    </chartFormat>
    <chartFormat chart="12" format="31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"/>
          </reference>
        </references>
      </pivotArea>
    </chartFormat>
    <chartFormat chart="12" format="31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"/>
          </reference>
        </references>
      </pivotArea>
    </chartFormat>
    <chartFormat chart="12" format="31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6"/>
          </reference>
        </references>
      </pivotArea>
    </chartFormat>
    <chartFormat chart="12" format="31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2"/>
          </reference>
        </references>
      </pivotArea>
    </chartFormat>
    <chartFormat chart="12" format="31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3"/>
          </reference>
        </references>
      </pivotArea>
    </chartFormat>
    <chartFormat chart="12" format="31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7"/>
          </reference>
        </references>
      </pivotArea>
    </chartFormat>
    <chartFormat chart="12" format="31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8"/>
          </reference>
        </references>
      </pivotArea>
    </chartFormat>
    <chartFormat chart="12" format="32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2"/>
          </reference>
        </references>
      </pivotArea>
    </chartFormat>
    <chartFormat chart="12" format="32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8"/>
          </reference>
        </references>
      </pivotArea>
    </chartFormat>
    <chartFormat chart="12" format="32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3"/>
          </reference>
        </references>
      </pivotArea>
    </chartFormat>
    <chartFormat chart="12" format="32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2" format="32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33"/>
          </reference>
        </references>
      </pivotArea>
    </chartFormat>
    <chartFormat chart="12" format="32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9"/>
          </reference>
        </references>
      </pivotArea>
    </chartFormat>
    <chartFormat chart="12" format="326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2" format="327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24"/>
          </reference>
        </references>
      </pivotArea>
    </chartFormat>
    <chartFormat chart="12" format="32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37"/>
          </reference>
        </references>
      </pivotArea>
    </chartFormat>
    <chartFormat chart="12" format="32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2"/>
          </reference>
        </references>
      </pivotArea>
    </chartFormat>
    <chartFormat chart="12" format="33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38"/>
          </reference>
        </references>
      </pivotArea>
    </chartFormat>
    <chartFormat chart="12" format="33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7"/>
          </reference>
        </references>
      </pivotArea>
    </chartFormat>
    <chartFormat chart="12" format="33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2"/>
          </reference>
        </references>
      </pivotArea>
    </chartFormat>
    <chartFormat chart="12" format="33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48"/>
          </reference>
        </references>
      </pivotArea>
    </chartFormat>
    <chartFormat chart="12" format="33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7"/>
          </reference>
        </references>
      </pivotArea>
    </chartFormat>
    <chartFormat chart="12" format="33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55"/>
          </reference>
        </references>
      </pivotArea>
    </chartFormat>
    <chartFormat chart="12" format="33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1"/>
          </reference>
        </references>
      </pivotArea>
    </chartFormat>
    <chartFormat chart="12" format="33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58"/>
          </reference>
        </references>
      </pivotArea>
    </chartFormat>
    <chartFormat chart="12" format="33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7"/>
          </reference>
        </references>
      </pivotArea>
    </chartFormat>
    <chartFormat chart="12" format="33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2"/>
          </reference>
        </references>
      </pivotArea>
    </chartFormat>
    <chartFormat chart="12" format="34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3"/>
          </reference>
        </references>
      </pivotArea>
    </chartFormat>
    <chartFormat chart="12" format="34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6"/>
          </reference>
        </references>
      </pivotArea>
    </chartFormat>
    <chartFormat chart="12" format="34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2" format="34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8"/>
          </reference>
        </references>
      </pivotArea>
    </chartFormat>
    <chartFormat chart="12" format="34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6"/>
          </reference>
        </references>
      </pivotArea>
    </chartFormat>
    <chartFormat chart="12" format="34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2"/>
          </reference>
        </references>
      </pivotArea>
    </chartFormat>
    <chartFormat chart="12" format="34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1"/>
          </reference>
        </references>
      </pivotArea>
    </chartFormat>
    <chartFormat chart="12" format="34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7"/>
          </reference>
        </references>
      </pivotArea>
    </chartFormat>
    <chartFormat chart="12" format="34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5"/>
          </reference>
        </references>
      </pivotArea>
    </chartFormat>
    <chartFormat chart="12" format="34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6"/>
          </reference>
        </references>
      </pivotArea>
    </chartFormat>
    <chartFormat chart="12" format="35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1"/>
          </reference>
        </references>
      </pivotArea>
    </chartFormat>
    <chartFormat chart="12" format="35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7"/>
          </reference>
        </references>
      </pivotArea>
    </chartFormat>
    <chartFormat chart="12" format="35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6"/>
          </reference>
        </references>
      </pivotArea>
    </chartFormat>
    <chartFormat chart="12" format="35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1"/>
          </reference>
        </references>
      </pivotArea>
    </chartFormat>
    <chartFormat chart="12" format="35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7"/>
          </reference>
        </references>
      </pivotArea>
    </chartFormat>
    <chartFormat chart="12" format="35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03"/>
          </reference>
        </references>
      </pivotArea>
    </chartFormat>
    <chartFormat chart="12" format="35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10"/>
          </reference>
        </references>
      </pivotArea>
    </chartFormat>
    <chartFormat chart="12" format="35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14"/>
          </reference>
        </references>
      </pivotArea>
    </chartFormat>
    <chartFormat chart="12" format="35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17"/>
          </reference>
        </references>
      </pivotArea>
    </chartFormat>
    <chartFormat chart="12" format="35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23"/>
          </reference>
        </references>
      </pivotArea>
    </chartFormat>
    <chartFormat chart="12" format="36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29"/>
          </reference>
        </references>
      </pivotArea>
    </chartFormat>
    <chartFormat chart="12" format="36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39"/>
          </reference>
        </references>
      </pivotArea>
    </chartFormat>
    <chartFormat chart="12" format="36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35"/>
          </reference>
        </references>
      </pivotArea>
    </chartFormat>
    <chartFormat chart="12" format="36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45"/>
          </reference>
        </references>
      </pivotArea>
    </chartFormat>
    <chartFormat chart="12" format="36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41"/>
          </reference>
        </references>
      </pivotArea>
    </chartFormat>
    <chartFormat chart="12" format="36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51"/>
          </reference>
        </references>
      </pivotArea>
    </chartFormat>
    <chartFormat chart="12" format="36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47"/>
          </reference>
        </references>
      </pivotArea>
    </chartFormat>
    <chartFormat chart="12" format="36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57"/>
          </reference>
        </references>
      </pivotArea>
    </chartFormat>
    <chartFormat chart="12" format="36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53"/>
          </reference>
        </references>
      </pivotArea>
    </chartFormat>
    <chartFormat chart="12" format="36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62"/>
          </reference>
        </references>
      </pivotArea>
    </chartFormat>
    <chartFormat chart="12" format="37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67"/>
          </reference>
        </references>
      </pivotArea>
    </chartFormat>
    <chartFormat chart="12" format="37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74"/>
          </reference>
        </references>
      </pivotArea>
    </chartFormat>
    <chartFormat chart="12" format="37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80"/>
          </reference>
        </references>
      </pivotArea>
    </chartFormat>
    <chartFormat chart="12" format="37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190"/>
          </reference>
        </references>
      </pivotArea>
    </chartFormat>
    <chartFormat chart="12" format="37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200"/>
          </reference>
        </references>
      </pivotArea>
    </chartFormat>
    <chartFormat chart="12" format="37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14"/>
          </reference>
        </references>
      </pivotArea>
    </chartFormat>
    <chartFormat chart="12" format="37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19"/>
          </reference>
        </references>
      </pivotArea>
    </chartFormat>
    <chartFormat chart="12" format="37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230"/>
          </reference>
        </references>
      </pivotArea>
    </chartFormat>
    <chartFormat chart="12" format="37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55"/>
          </reference>
        </references>
      </pivotArea>
    </chartFormat>
    <chartFormat chart="12" format="37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2" format="38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277"/>
          </reference>
        </references>
      </pivotArea>
    </chartFormat>
    <chartFormat chart="12" format="38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281"/>
          </reference>
        </references>
      </pivotArea>
    </chartFormat>
    <chartFormat chart="12" format="382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285"/>
          </reference>
        </references>
      </pivotArea>
    </chartFormat>
    <chartFormat chart="12" format="38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286"/>
          </reference>
        </references>
      </pivotArea>
    </chartFormat>
    <chartFormat chart="12" format="38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290"/>
          </reference>
        </references>
      </pivotArea>
    </chartFormat>
    <chartFormat chart="12" format="385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293"/>
          </reference>
        </references>
      </pivotArea>
    </chartFormat>
    <chartFormat chart="12" format="38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294"/>
          </reference>
        </references>
      </pivotArea>
    </chartFormat>
    <chartFormat chart="12" format="38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91"/>
          </reference>
        </references>
      </pivotArea>
    </chartFormat>
    <chartFormat chart="12" format="388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297"/>
          </reference>
        </references>
      </pivotArea>
    </chartFormat>
    <chartFormat chart="12" format="38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298"/>
          </reference>
        </references>
      </pivotArea>
    </chartFormat>
    <chartFormat chart="12" format="390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300"/>
          </reference>
        </references>
      </pivotArea>
    </chartFormat>
    <chartFormat chart="12" format="391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301"/>
          </reference>
        </references>
      </pivotArea>
    </chartFormat>
    <chartFormat chart="12" format="39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302"/>
          </reference>
        </references>
      </pivotArea>
    </chartFormat>
    <chartFormat chart="12" format="39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305"/>
          </reference>
        </references>
      </pivotArea>
    </chartFormat>
    <chartFormat chart="12" format="394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306"/>
          </reference>
        </references>
      </pivotArea>
    </chartFormat>
    <chartFormat chart="12" format="39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307"/>
          </reference>
        </references>
      </pivotArea>
    </chartFormat>
    <chartFormat chart="12" format="39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310"/>
          </reference>
        </references>
      </pivotArea>
    </chartFormat>
    <chartFormat chart="12" format="397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311"/>
          </reference>
        </references>
      </pivotArea>
    </chartFormat>
    <chartFormat chart="12" format="39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312"/>
          </reference>
        </references>
      </pivotArea>
    </chartFormat>
    <chartFormat chart="12" format="399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316"/>
          </reference>
        </references>
      </pivotArea>
    </chartFormat>
    <chartFormat chart="12" format="40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317"/>
          </reference>
        </references>
      </pivotArea>
    </chartFormat>
    <chartFormat chart="12" format="40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319"/>
          </reference>
        </references>
      </pivotArea>
    </chartFormat>
    <chartFormat chart="12" format="402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320"/>
          </reference>
        </references>
      </pivotArea>
    </chartFormat>
    <chartFormat chart="12" format="40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321"/>
          </reference>
        </references>
      </pivotArea>
    </chartFormat>
    <chartFormat chart="12" format="40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324"/>
          </reference>
        </references>
      </pivotArea>
    </chartFormat>
    <chartFormat chart="12" format="405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325"/>
          </reference>
        </references>
      </pivotArea>
    </chartFormat>
    <chartFormat chart="12" format="40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24"/>
          </reference>
        </references>
      </pivotArea>
    </chartFormat>
    <chartFormat chart="12" format="407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328"/>
          </reference>
        </references>
      </pivotArea>
    </chartFormat>
    <chartFormat chart="12" format="408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329"/>
          </reference>
        </references>
      </pivotArea>
    </chartFormat>
    <chartFormat chart="12" format="40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330"/>
          </reference>
        </references>
      </pivotArea>
    </chartFormat>
    <chartFormat chart="12" format="41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326"/>
          </reference>
        </references>
      </pivotArea>
    </chartFormat>
    <chartFormat chart="12" format="41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333"/>
          </reference>
        </references>
      </pivotArea>
    </chartFormat>
    <chartFormat chart="12" format="412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334"/>
          </reference>
        </references>
      </pivotArea>
    </chartFormat>
    <chartFormat chart="12" format="41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331"/>
          </reference>
        </references>
      </pivotArea>
    </chartFormat>
    <chartFormat chart="12" format="41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337"/>
          </reference>
        </references>
      </pivotArea>
    </chartFormat>
    <chartFormat chart="12" format="415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338"/>
          </reference>
        </references>
      </pivotArea>
    </chartFormat>
    <chartFormat chart="12" format="41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339"/>
          </reference>
        </references>
      </pivotArea>
    </chartFormat>
    <chartFormat chart="12" format="417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343"/>
          </reference>
        </references>
      </pivotArea>
    </chartFormat>
    <chartFormat chart="12" format="41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340"/>
          </reference>
        </references>
      </pivotArea>
    </chartFormat>
    <chartFormat chart="12" format="419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350"/>
          </reference>
        </references>
      </pivotArea>
    </chartFormat>
    <chartFormat chart="12" format="42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351"/>
          </reference>
        </references>
      </pivotArea>
    </chartFormat>
    <chartFormat chart="12" format="42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347"/>
          </reference>
        </references>
      </pivotArea>
    </chartFormat>
    <chartFormat chart="12" format="422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355"/>
          </reference>
        </references>
      </pivotArea>
    </chartFormat>
    <chartFormat chart="12" format="42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356"/>
          </reference>
        </references>
      </pivotArea>
    </chartFormat>
    <chartFormat chart="12" format="42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352"/>
          </reference>
        </references>
      </pivotArea>
    </chartFormat>
    <chartFormat chart="12" format="42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359"/>
          </reference>
        </references>
      </pivotArea>
    </chartFormat>
    <chartFormat chart="12" format="426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360"/>
          </reference>
        </references>
      </pivotArea>
    </chartFormat>
    <chartFormat chart="12" format="42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361"/>
          </reference>
        </references>
      </pivotArea>
    </chartFormat>
    <chartFormat chart="12" format="42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357"/>
          </reference>
        </references>
      </pivotArea>
    </chartFormat>
    <chartFormat chart="12" format="42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364"/>
          </reference>
        </references>
      </pivotArea>
    </chartFormat>
    <chartFormat chart="12" format="430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365"/>
          </reference>
        </references>
      </pivotArea>
    </chartFormat>
    <chartFormat chart="12" format="43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366"/>
          </reference>
        </references>
      </pivotArea>
    </chartFormat>
    <chartFormat chart="12" format="43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369"/>
          </reference>
        </references>
      </pivotArea>
    </chartFormat>
    <chartFormat chart="12" format="43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371"/>
          </reference>
        </references>
      </pivotArea>
    </chartFormat>
    <chartFormat chart="12" format="43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374"/>
          </reference>
        </references>
      </pivotArea>
    </chartFormat>
    <chartFormat chart="12" format="43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376"/>
          </reference>
        </references>
      </pivotArea>
    </chartFormat>
    <chartFormat chart="12" format="43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379"/>
          </reference>
        </references>
      </pivotArea>
    </chartFormat>
    <chartFormat chart="12" format="43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381"/>
          </reference>
        </references>
      </pivotArea>
    </chartFormat>
    <chartFormat chart="12" format="43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384"/>
          </reference>
        </references>
      </pivotArea>
    </chartFormat>
    <chartFormat chart="12" format="43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386"/>
          </reference>
        </references>
      </pivotArea>
    </chartFormat>
    <chartFormat chart="12" format="440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388"/>
          </reference>
        </references>
      </pivotArea>
    </chartFormat>
    <chartFormat chart="12" format="44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390"/>
          </reference>
        </references>
      </pivotArea>
    </chartFormat>
    <chartFormat chart="12" format="44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392"/>
          </reference>
        </references>
      </pivotArea>
    </chartFormat>
    <chartFormat chart="12" format="44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394"/>
          </reference>
        </references>
      </pivotArea>
    </chartFormat>
    <chartFormat chart="12" format="44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397"/>
          </reference>
        </references>
      </pivotArea>
    </chartFormat>
    <chartFormat chart="12" format="445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398"/>
          </reference>
        </references>
      </pivotArea>
    </chartFormat>
    <chartFormat chart="12" format="44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399"/>
          </reference>
        </references>
      </pivotArea>
    </chartFormat>
    <chartFormat chart="12" format="447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402"/>
          </reference>
        </references>
      </pivotArea>
    </chartFormat>
    <chartFormat chart="12" format="448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03"/>
          </reference>
        </references>
      </pivotArea>
    </chartFormat>
    <chartFormat chart="12" format="44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04"/>
          </reference>
        </references>
      </pivotArea>
    </chartFormat>
    <chartFormat chart="12" format="450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407"/>
          </reference>
        </references>
      </pivotArea>
    </chartFormat>
    <chartFormat chart="12" format="451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08"/>
          </reference>
        </references>
      </pivotArea>
    </chartFormat>
    <chartFormat chart="12" format="45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09"/>
          </reference>
        </references>
      </pivotArea>
    </chartFormat>
    <chartFormat chart="12" format="45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411"/>
          </reference>
        </references>
      </pivotArea>
    </chartFormat>
    <chartFormat chart="12" format="454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12"/>
          </reference>
        </references>
      </pivotArea>
    </chartFormat>
    <chartFormat chart="12" format="45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13"/>
          </reference>
        </references>
      </pivotArea>
    </chartFormat>
    <chartFormat chart="12" format="45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416"/>
          </reference>
        </references>
      </pivotArea>
    </chartFormat>
    <chartFormat chart="12" format="457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17"/>
          </reference>
        </references>
      </pivotArea>
    </chartFormat>
    <chartFormat chart="12" format="45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18"/>
          </reference>
        </references>
      </pivotArea>
    </chartFormat>
    <chartFormat chart="12" format="45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421"/>
          </reference>
        </references>
      </pivotArea>
    </chartFormat>
    <chartFormat chart="12" format="460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22"/>
          </reference>
        </references>
      </pivotArea>
    </chartFormat>
    <chartFormat chart="12" format="46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23"/>
          </reference>
        </references>
      </pivotArea>
    </chartFormat>
    <chartFormat chart="12" format="46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419"/>
          </reference>
        </references>
      </pivotArea>
    </chartFormat>
    <chartFormat chart="12" format="46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24"/>
          </reference>
        </references>
      </pivotArea>
    </chartFormat>
    <chartFormat chart="12" format="464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26"/>
          </reference>
        </references>
      </pivotArea>
    </chartFormat>
    <chartFormat chart="12" format="46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27"/>
          </reference>
        </references>
      </pivotArea>
    </chartFormat>
    <chartFormat chart="12" format="46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424"/>
          </reference>
        </references>
      </pivotArea>
    </chartFormat>
    <chartFormat chart="12" format="467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30"/>
          </reference>
        </references>
      </pivotArea>
    </chartFormat>
    <chartFormat chart="12" format="46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428"/>
          </reference>
        </references>
      </pivotArea>
    </chartFormat>
    <chartFormat chart="12" format="469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33"/>
          </reference>
        </references>
      </pivotArea>
    </chartFormat>
    <chartFormat chart="12" format="47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34"/>
          </reference>
        </references>
      </pivotArea>
    </chartFormat>
    <chartFormat chart="12" format="47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431"/>
          </reference>
        </references>
      </pivotArea>
    </chartFormat>
    <chartFormat chart="12" format="47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437"/>
          </reference>
        </references>
      </pivotArea>
    </chartFormat>
    <chartFormat chart="12" format="473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38"/>
          </reference>
        </references>
      </pivotArea>
    </chartFormat>
    <chartFormat chart="12" format="47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39"/>
          </reference>
        </references>
      </pivotArea>
    </chartFormat>
    <chartFormat chart="12" format="47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435"/>
          </reference>
        </references>
      </pivotArea>
    </chartFormat>
    <chartFormat chart="12" format="476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42"/>
          </reference>
        </references>
      </pivotArea>
    </chartFormat>
    <chartFormat chart="12" format="47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43"/>
          </reference>
        </references>
      </pivotArea>
    </chartFormat>
    <chartFormat chart="12" format="47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440"/>
          </reference>
        </references>
      </pivotArea>
    </chartFormat>
    <chartFormat chart="12" format="479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46"/>
          </reference>
        </references>
      </pivotArea>
    </chartFormat>
    <chartFormat chart="12" format="48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47"/>
          </reference>
        </references>
      </pivotArea>
    </chartFormat>
    <chartFormat chart="12" format="48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444"/>
          </reference>
        </references>
      </pivotArea>
    </chartFormat>
    <chartFormat chart="12" format="482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50"/>
          </reference>
        </references>
      </pivotArea>
    </chartFormat>
    <chartFormat chart="12" format="48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51"/>
          </reference>
        </references>
      </pivotArea>
    </chartFormat>
    <chartFormat chart="12" format="48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448"/>
          </reference>
        </references>
      </pivotArea>
    </chartFormat>
    <chartFormat chart="12" format="485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54"/>
          </reference>
        </references>
      </pivotArea>
    </chartFormat>
    <chartFormat chart="12" format="48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55"/>
          </reference>
        </references>
      </pivotArea>
    </chartFormat>
    <chartFormat chart="12" format="48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452"/>
          </reference>
        </references>
      </pivotArea>
    </chartFormat>
    <chartFormat chart="12" format="488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58"/>
          </reference>
        </references>
      </pivotArea>
    </chartFormat>
    <chartFormat chart="12" format="48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59"/>
          </reference>
        </references>
      </pivotArea>
    </chartFormat>
    <chartFormat chart="12" format="49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456"/>
          </reference>
        </references>
      </pivotArea>
    </chartFormat>
    <chartFormat chart="12" format="491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62"/>
          </reference>
        </references>
      </pivotArea>
    </chartFormat>
    <chartFormat chart="12" format="49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63"/>
          </reference>
        </references>
      </pivotArea>
    </chartFormat>
    <chartFormat chart="12" format="49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460"/>
          </reference>
        </references>
      </pivotArea>
    </chartFormat>
    <chartFormat chart="12" format="494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65"/>
          </reference>
        </references>
      </pivotArea>
    </chartFormat>
    <chartFormat chart="12" format="49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66"/>
          </reference>
        </references>
      </pivotArea>
    </chartFormat>
    <chartFormat chart="12" format="49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464"/>
          </reference>
        </references>
      </pivotArea>
    </chartFormat>
    <chartFormat chart="12" format="497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69"/>
          </reference>
        </references>
      </pivotArea>
    </chartFormat>
    <chartFormat chart="12" format="49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70"/>
          </reference>
        </references>
      </pivotArea>
    </chartFormat>
    <chartFormat chart="12" format="49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467"/>
          </reference>
        </references>
      </pivotArea>
    </chartFormat>
    <chartFormat chart="12" format="50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74"/>
          </reference>
        </references>
      </pivotArea>
    </chartFormat>
    <chartFormat chart="12" format="501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73"/>
          </reference>
        </references>
      </pivotArea>
    </chartFormat>
    <chartFormat chart="12" format="50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477"/>
          </reference>
        </references>
      </pivotArea>
    </chartFormat>
    <chartFormat chart="12" format="50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79"/>
          </reference>
        </references>
      </pivotArea>
    </chartFormat>
    <chartFormat chart="12" format="50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80"/>
          </reference>
        </references>
      </pivotArea>
    </chartFormat>
    <chartFormat chart="1531" format="5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31" format="513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531" format="5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31" format="51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477"/>
          </reference>
        </references>
      </pivotArea>
    </chartFormat>
    <chartFormat chart="1531" format="51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79"/>
          </reference>
        </references>
      </pivotArea>
    </chartFormat>
    <chartFormat chart="1531" format="51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80"/>
          </reference>
        </references>
      </pivotArea>
    </chartFormat>
    <chartFormat chart="1531" format="51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2" format="50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483"/>
          </reference>
        </references>
      </pivotArea>
    </chartFormat>
    <chartFormat chart="12" format="50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490"/>
          </reference>
        </references>
      </pivotArea>
    </chartFormat>
    <chartFormat chart="12" format="50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92"/>
          </reference>
        </references>
      </pivotArea>
    </chartFormat>
    <chartFormat chart="12" format="50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495"/>
          </reference>
        </references>
      </pivotArea>
    </chartFormat>
    <chartFormat chart="12" format="50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97"/>
          </reference>
        </references>
      </pivotArea>
    </chartFormat>
    <chartFormat chart="12" format="510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500"/>
          </reference>
        </references>
      </pivotArea>
    </chartFormat>
    <chartFormat chart="12" format="51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02"/>
          </reference>
        </references>
      </pivotArea>
    </chartFormat>
    <chartFormat chart="12" format="51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03"/>
          </reference>
        </references>
      </pivotArea>
    </chartFormat>
    <chartFormat chart="1549" format="5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49" format="514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549" format="5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49" format="51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500"/>
          </reference>
        </references>
      </pivotArea>
    </chartFormat>
    <chartFormat chart="1549" format="51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02"/>
          </reference>
        </references>
      </pivotArea>
    </chartFormat>
    <chartFormat chart="1549" format="51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03"/>
          </reference>
        </references>
      </pivotArea>
    </chartFormat>
    <chartFormat chart="1549" format="51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550" format="5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50" format="52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550" format="5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50" format="52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500"/>
          </reference>
        </references>
      </pivotArea>
    </chartFormat>
    <chartFormat chart="1550" format="52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02"/>
          </reference>
        </references>
      </pivotArea>
    </chartFormat>
    <chartFormat chart="1550" format="52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03"/>
          </reference>
        </references>
      </pivotArea>
    </chartFormat>
    <chartFormat chart="1550" format="52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2" format="51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04"/>
          </reference>
        </references>
      </pivotArea>
    </chartFormat>
    <chartFormat chart="12" format="51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08"/>
          </reference>
        </references>
      </pivotArea>
    </chartFormat>
    <chartFormat chart="12" format="51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12"/>
          </reference>
        </references>
      </pivotArea>
    </chartFormat>
    <chartFormat chart="12" format="51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16"/>
          </reference>
        </references>
      </pivotArea>
    </chartFormat>
    <chartFormat chart="12" format="51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19"/>
          </reference>
        </references>
      </pivotArea>
    </chartFormat>
    <chartFormat chart="12" format="51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20"/>
          </reference>
        </references>
      </pivotArea>
    </chartFormat>
    <chartFormat chart="12" format="51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24"/>
          </reference>
        </references>
      </pivotArea>
    </chartFormat>
    <chartFormat chart="12" format="52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25"/>
          </reference>
        </references>
      </pivotArea>
    </chartFormat>
    <chartFormat chart="12" format="52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29"/>
          </reference>
        </references>
      </pivotArea>
    </chartFormat>
    <chartFormat chart="12" format="52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30"/>
          </reference>
        </references>
      </pivotArea>
    </chartFormat>
    <chartFormat chart="12" format="52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34"/>
          </reference>
        </references>
      </pivotArea>
    </chartFormat>
    <chartFormat chart="12" format="52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38"/>
          </reference>
        </references>
      </pivotArea>
    </chartFormat>
    <chartFormat chart="12" format="52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39"/>
          </reference>
        </references>
      </pivotArea>
    </chartFormat>
    <chartFormat chart="12" format="52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43"/>
          </reference>
        </references>
      </pivotArea>
    </chartFormat>
    <chartFormat chart="12" format="52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46"/>
          </reference>
        </references>
      </pivotArea>
    </chartFormat>
    <chartFormat chart="12" format="52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47"/>
          </reference>
        </references>
      </pivotArea>
    </chartFormat>
    <chartFormat chart="12" format="52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51"/>
          </reference>
        </references>
      </pivotArea>
    </chartFormat>
    <chartFormat chart="12" format="53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52"/>
          </reference>
        </references>
      </pivotArea>
    </chartFormat>
    <chartFormat chart="12" format="53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60"/>
          </reference>
        </references>
      </pivotArea>
    </chartFormat>
    <chartFormat chart="12" format="53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65"/>
          </reference>
        </references>
      </pivotArea>
    </chartFormat>
    <chartFormat chart="12" format="53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66"/>
          </reference>
        </references>
      </pivotArea>
    </chartFormat>
    <chartFormat chart="12" format="53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70"/>
          </reference>
        </references>
      </pivotArea>
    </chartFormat>
    <chartFormat chart="12" format="53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75"/>
          </reference>
        </references>
      </pivotArea>
    </chartFormat>
    <chartFormat chart="12" format="53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76"/>
          </reference>
        </references>
      </pivotArea>
    </chartFormat>
    <chartFormat chart="12" format="53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79"/>
          </reference>
        </references>
      </pivotArea>
    </chartFormat>
    <chartFormat chart="12" format="53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80"/>
          </reference>
        </references>
      </pivotArea>
    </chartFormat>
    <chartFormat chart="631" format="8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631" format="8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24"/>
          </reference>
        </references>
      </pivotArea>
    </chartFormat>
    <chartFormat chart="631" format="8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79"/>
          </reference>
        </references>
      </pivotArea>
    </chartFormat>
    <chartFormat chart="631" format="8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577"/>
          </reference>
        </references>
      </pivotArea>
    </chartFormat>
    <chartFormat chart="631" format="8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80"/>
          </reference>
        </references>
      </pivotArea>
    </chartFormat>
    <chartFormat chart="1628" format="5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28" format="540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28" format="54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28" format="54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24"/>
          </reference>
        </references>
      </pivotArea>
    </chartFormat>
    <chartFormat chart="1628" format="54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79"/>
          </reference>
        </references>
      </pivotArea>
    </chartFormat>
    <chartFormat chart="1628" format="54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80"/>
          </reference>
        </references>
      </pivotArea>
    </chartFormat>
    <chartFormat chart="1628" format="54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29" format="54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29" format="547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29" format="54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29" format="54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24"/>
          </reference>
        </references>
      </pivotArea>
    </chartFormat>
    <chartFormat chart="1629" format="55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79"/>
          </reference>
        </references>
      </pivotArea>
    </chartFormat>
    <chartFormat chart="1629" format="55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80"/>
          </reference>
        </references>
      </pivotArea>
    </chartFormat>
    <chartFormat chart="1629" format="55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2" format="53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583"/>
          </reference>
        </references>
      </pivotArea>
    </chartFormat>
    <chartFormat chart="12" format="54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85"/>
          </reference>
        </references>
      </pivotArea>
    </chartFormat>
    <chartFormat chart="12" format="54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585"/>
          </reference>
        </references>
      </pivotArea>
    </chartFormat>
    <chartFormat chart="12" format="54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586"/>
          </reference>
        </references>
      </pivotArea>
    </chartFormat>
    <chartFormat chart="12" format="54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581"/>
          </reference>
        </references>
      </pivotArea>
    </chartFormat>
    <chartFormat chart="1632" format="5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32" format="545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585"/>
          </reference>
        </references>
      </pivotArea>
    </chartFormat>
    <chartFormat chart="1632" format="54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586"/>
          </reference>
        </references>
      </pivotArea>
    </chartFormat>
    <chartFormat chart="1632" format="547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32" format="54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32" format="54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583"/>
          </reference>
        </references>
      </pivotArea>
    </chartFormat>
    <chartFormat chart="1632" format="55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85"/>
          </reference>
        </references>
      </pivotArea>
    </chartFormat>
    <chartFormat chart="1632" format="55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581"/>
          </reference>
        </references>
      </pivotArea>
    </chartFormat>
    <chartFormat chart="1632" format="55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33" format="5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33" format="554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585"/>
          </reference>
        </references>
      </pivotArea>
    </chartFormat>
    <chartFormat chart="1633" format="55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586"/>
          </reference>
        </references>
      </pivotArea>
    </chartFormat>
    <chartFormat chart="1633" format="556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33" format="5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33" format="55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583"/>
          </reference>
        </references>
      </pivotArea>
    </chartFormat>
    <chartFormat chart="1633" format="55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85"/>
          </reference>
        </references>
      </pivotArea>
    </chartFormat>
    <chartFormat chart="1633" format="56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581"/>
          </reference>
        </references>
      </pivotArea>
    </chartFormat>
    <chartFormat chart="1633" format="56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2" format="54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589"/>
          </reference>
        </references>
      </pivotArea>
    </chartFormat>
    <chartFormat chart="12" format="54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92"/>
          </reference>
        </references>
      </pivotArea>
    </chartFormat>
    <chartFormat chart="12" format="54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91"/>
          </reference>
        </references>
      </pivotArea>
    </chartFormat>
    <chartFormat chart="12" format="54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587"/>
          </reference>
        </references>
      </pivotArea>
    </chartFormat>
    <chartFormat chart="1637" format="5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37" format="549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37" format="55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37" format="55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589"/>
          </reference>
        </references>
      </pivotArea>
    </chartFormat>
    <chartFormat chart="1637" format="55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91"/>
          </reference>
        </references>
      </pivotArea>
    </chartFormat>
    <chartFormat chart="1637" format="55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92"/>
          </reference>
        </references>
      </pivotArea>
    </chartFormat>
    <chartFormat chart="1637" format="55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587"/>
          </reference>
        </references>
      </pivotArea>
    </chartFormat>
    <chartFormat chart="1637" format="55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38" format="5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38" format="557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38" format="5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38" format="55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589"/>
          </reference>
        </references>
      </pivotArea>
    </chartFormat>
    <chartFormat chart="1638" format="56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91"/>
          </reference>
        </references>
      </pivotArea>
    </chartFormat>
    <chartFormat chart="1638" format="56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92"/>
          </reference>
        </references>
      </pivotArea>
    </chartFormat>
    <chartFormat chart="1638" format="56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587"/>
          </reference>
        </references>
      </pivotArea>
    </chartFormat>
    <chartFormat chart="1638" format="56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41" format="5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41" format="549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41" format="55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41" format="55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589"/>
          </reference>
        </references>
      </pivotArea>
    </chartFormat>
    <chartFormat chart="1641" format="55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91"/>
          </reference>
        </references>
      </pivotArea>
    </chartFormat>
    <chartFormat chart="1641" format="55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92"/>
          </reference>
        </references>
      </pivotArea>
    </chartFormat>
    <chartFormat chart="1641" format="55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587"/>
          </reference>
        </references>
      </pivotArea>
    </chartFormat>
    <chartFormat chart="1641" format="55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42" format="5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42" format="557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42" format="5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42" format="55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589"/>
          </reference>
        </references>
      </pivotArea>
    </chartFormat>
    <chartFormat chart="1642" format="56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91"/>
          </reference>
        </references>
      </pivotArea>
    </chartFormat>
    <chartFormat chart="1642" format="56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92"/>
          </reference>
        </references>
      </pivotArea>
    </chartFormat>
    <chartFormat chart="1642" format="56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587"/>
          </reference>
        </references>
      </pivotArea>
    </chartFormat>
    <chartFormat chart="1642" format="56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45" format="5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45" format="549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45" format="55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45" format="55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589"/>
          </reference>
        </references>
      </pivotArea>
    </chartFormat>
    <chartFormat chart="1645" format="55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91"/>
          </reference>
        </references>
      </pivotArea>
    </chartFormat>
    <chartFormat chart="1645" format="55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92"/>
          </reference>
        </references>
      </pivotArea>
    </chartFormat>
    <chartFormat chart="1645" format="55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587"/>
          </reference>
        </references>
      </pivotArea>
    </chartFormat>
    <chartFormat chart="1645" format="55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46" format="5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46" format="557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46" format="5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46" format="55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589"/>
          </reference>
        </references>
      </pivotArea>
    </chartFormat>
    <chartFormat chart="1646" format="56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91"/>
          </reference>
        </references>
      </pivotArea>
    </chartFormat>
    <chartFormat chart="1646" format="56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92"/>
          </reference>
        </references>
      </pivotArea>
    </chartFormat>
    <chartFormat chart="1646" format="56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587"/>
          </reference>
        </references>
      </pivotArea>
    </chartFormat>
    <chartFormat chart="1646" format="56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49" format="5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49" format="549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49" format="55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49" format="55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589"/>
          </reference>
        </references>
      </pivotArea>
    </chartFormat>
    <chartFormat chart="1649" format="55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91"/>
          </reference>
        </references>
      </pivotArea>
    </chartFormat>
    <chartFormat chart="1649" format="55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92"/>
          </reference>
        </references>
      </pivotArea>
    </chartFormat>
    <chartFormat chart="1649" format="55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587"/>
          </reference>
        </references>
      </pivotArea>
    </chartFormat>
    <chartFormat chart="1649" format="55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50" format="5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50" format="557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50" format="5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50" format="55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589"/>
          </reference>
        </references>
      </pivotArea>
    </chartFormat>
    <chartFormat chart="1650" format="56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91"/>
          </reference>
        </references>
      </pivotArea>
    </chartFormat>
    <chartFormat chart="1650" format="56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92"/>
          </reference>
        </references>
      </pivotArea>
    </chartFormat>
    <chartFormat chart="1650" format="56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587"/>
          </reference>
        </references>
      </pivotArea>
    </chartFormat>
    <chartFormat chart="1650" format="56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2" format="54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595"/>
          </reference>
        </references>
      </pivotArea>
    </chartFormat>
    <chartFormat chart="12" format="54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97"/>
          </reference>
        </references>
      </pivotArea>
    </chartFormat>
    <chartFormat chart="12" format="55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98"/>
          </reference>
        </references>
      </pivotArea>
    </chartFormat>
    <chartFormat chart="1655" format="5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55" format="552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55" format="5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55" format="55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595"/>
          </reference>
        </references>
      </pivotArea>
    </chartFormat>
    <chartFormat chart="1655" format="55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97"/>
          </reference>
        </references>
      </pivotArea>
    </chartFormat>
    <chartFormat chart="1655" format="55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98"/>
          </reference>
        </references>
      </pivotArea>
    </chartFormat>
    <chartFormat chart="1655" format="55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56" format="5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56" format="559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56" format="56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56" format="56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595"/>
          </reference>
        </references>
      </pivotArea>
    </chartFormat>
    <chartFormat chart="1656" format="56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97"/>
          </reference>
        </references>
      </pivotArea>
    </chartFormat>
    <chartFormat chart="1656" format="56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98"/>
          </reference>
        </references>
      </pivotArea>
    </chartFormat>
    <chartFormat chart="1656" format="56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2" format="55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03"/>
          </reference>
        </references>
      </pivotArea>
    </chartFormat>
    <chartFormat chart="12" format="55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01"/>
          </reference>
        </references>
      </pivotArea>
    </chartFormat>
    <chartFormat chart="12" format="55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04"/>
          </reference>
        </references>
      </pivotArea>
    </chartFormat>
    <chartFormat chart="12" format="55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02"/>
          </reference>
        </references>
      </pivotArea>
    </chartFormat>
    <chartFormat chart="1661" format="5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61" format="556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61" format="5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61" format="55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03"/>
          </reference>
        </references>
      </pivotArea>
    </chartFormat>
    <chartFormat chart="1661" format="55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01"/>
          </reference>
        </references>
      </pivotArea>
    </chartFormat>
    <chartFormat chart="1661" format="56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04"/>
          </reference>
        </references>
      </pivotArea>
    </chartFormat>
    <chartFormat chart="1661" format="56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02"/>
          </reference>
        </references>
      </pivotArea>
    </chartFormat>
    <chartFormat chart="1661" format="56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62" format="5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62" format="564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62" format="5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62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03"/>
          </reference>
        </references>
      </pivotArea>
    </chartFormat>
    <chartFormat chart="1662" format="56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01"/>
          </reference>
        </references>
      </pivotArea>
    </chartFormat>
    <chartFormat chart="1662" format="56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04"/>
          </reference>
        </references>
      </pivotArea>
    </chartFormat>
    <chartFormat chart="1662" format="56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02"/>
          </reference>
        </references>
      </pivotArea>
    </chartFormat>
    <chartFormat chart="1662" format="57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2" format="55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07"/>
          </reference>
        </references>
      </pivotArea>
    </chartFormat>
    <chartFormat chart="12" format="55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09"/>
          </reference>
        </references>
      </pivotArea>
    </chartFormat>
    <chartFormat chart="12" format="55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10"/>
          </reference>
        </references>
      </pivotArea>
    </chartFormat>
    <chartFormat chart="12" format="55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05"/>
          </reference>
        </references>
      </pivotArea>
    </chartFormat>
    <chartFormat chart="1667" format="5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67" format="560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67" format="5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67" format="56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07"/>
          </reference>
        </references>
      </pivotArea>
    </chartFormat>
    <chartFormat chart="1667" format="56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09"/>
          </reference>
        </references>
      </pivotArea>
    </chartFormat>
    <chartFormat chart="1667" format="56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10"/>
          </reference>
        </references>
      </pivotArea>
    </chartFormat>
    <chartFormat chart="1667" format="56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05"/>
          </reference>
        </references>
      </pivotArea>
    </chartFormat>
    <chartFormat chart="1667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68" format="5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68" format="568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68" format="56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68" format="570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07"/>
          </reference>
        </references>
      </pivotArea>
    </chartFormat>
    <chartFormat chart="1668" format="57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09"/>
          </reference>
        </references>
      </pivotArea>
    </chartFormat>
    <chartFormat chart="1668" format="57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10"/>
          </reference>
        </references>
      </pivotArea>
    </chartFormat>
    <chartFormat chart="1668" format="57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05"/>
          </reference>
        </references>
      </pivotArea>
    </chartFormat>
    <chartFormat chart="1668" format="57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2" format="55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13"/>
          </reference>
        </references>
      </pivotArea>
    </chartFormat>
    <chartFormat chart="12" format="56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16"/>
          </reference>
        </references>
      </pivotArea>
    </chartFormat>
    <chartFormat chart="12" format="56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15"/>
          </reference>
        </references>
      </pivotArea>
    </chartFormat>
    <chartFormat chart="1673" format="5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73" format="563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73" format="56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73" format="56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13"/>
          </reference>
        </references>
      </pivotArea>
    </chartFormat>
    <chartFormat chart="1673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15"/>
          </reference>
        </references>
      </pivotArea>
    </chartFormat>
    <chartFormat chart="1673" format="56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16"/>
          </reference>
        </references>
      </pivotArea>
    </chartFormat>
    <chartFormat chart="1673" format="56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74" format="56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74" format="570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74" format="57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74" format="57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13"/>
          </reference>
        </references>
      </pivotArea>
    </chartFormat>
    <chartFormat chart="1674" format="57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15"/>
          </reference>
        </references>
      </pivotArea>
    </chartFormat>
    <chartFormat chart="1674" format="57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16"/>
          </reference>
        </references>
      </pivotArea>
    </chartFormat>
    <chartFormat chart="1674" format="57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79" format="5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79" format="563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79" format="56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79" format="56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13"/>
          </reference>
        </references>
      </pivotArea>
    </chartFormat>
    <chartFormat chart="1679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15"/>
          </reference>
        </references>
      </pivotArea>
    </chartFormat>
    <chartFormat chart="1679" format="56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16"/>
          </reference>
        </references>
      </pivotArea>
    </chartFormat>
    <chartFormat chart="1679" format="56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80" format="56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80" format="570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80" format="57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80" format="57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13"/>
          </reference>
        </references>
      </pivotArea>
    </chartFormat>
    <chartFormat chart="1680" format="57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15"/>
          </reference>
        </references>
      </pivotArea>
    </chartFormat>
    <chartFormat chart="1680" format="57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16"/>
          </reference>
        </references>
      </pivotArea>
    </chartFormat>
    <chartFormat chart="1680" format="57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2" format="56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20"/>
          </reference>
        </references>
      </pivotArea>
    </chartFormat>
    <chartFormat chart="12" format="56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21"/>
          </reference>
        </references>
      </pivotArea>
    </chartFormat>
    <chartFormat chart="12" format="56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17"/>
          </reference>
        </references>
      </pivotArea>
    </chartFormat>
    <chartFormat chart="12" format="56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24"/>
          </reference>
        </references>
      </pivotArea>
    </chartFormat>
    <chartFormat chart="12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26"/>
          </reference>
        </references>
      </pivotArea>
    </chartFormat>
    <chartFormat chart="12" format="56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27"/>
          </reference>
        </references>
      </pivotArea>
    </chartFormat>
    <chartFormat chart="12" format="56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22"/>
          </reference>
        </references>
      </pivotArea>
    </chartFormat>
    <chartFormat chart="12" format="56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30"/>
          </reference>
        </references>
      </pivotArea>
    </chartFormat>
    <chartFormat chart="12" format="57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32"/>
          </reference>
        </references>
      </pivotArea>
    </chartFormat>
    <chartFormat chart="12" format="57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33"/>
          </reference>
        </references>
      </pivotArea>
    </chartFormat>
    <chartFormat chart="12" format="57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28"/>
          </reference>
        </references>
      </pivotArea>
    </chartFormat>
    <chartFormat chart="1685" format="5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85" format="574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85" format="57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85" format="57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30"/>
          </reference>
        </references>
      </pivotArea>
    </chartFormat>
    <chartFormat chart="1685" format="57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32"/>
          </reference>
        </references>
      </pivotArea>
    </chartFormat>
    <chartFormat chart="1685" format="57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33"/>
          </reference>
        </references>
      </pivotArea>
    </chartFormat>
    <chartFormat chart="1685" format="57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28"/>
          </reference>
        </references>
      </pivotArea>
    </chartFormat>
    <chartFormat chart="1685" format="58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86" format="58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86" format="582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86" format="58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86" format="58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30"/>
          </reference>
        </references>
      </pivotArea>
    </chartFormat>
    <chartFormat chart="1686" format="58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32"/>
          </reference>
        </references>
      </pivotArea>
    </chartFormat>
    <chartFormat chart="1686" format="58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33"/>
          </reference>
        </references>
      </pivotArea>
    </chartFormat>
    <chartFormat chart="1686" format="58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28"/>
          </reference>
        </references>
      </pivotArea>
    </chartFormat>
    <chartFormat chart="1686" format="58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2" format="57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36"/>
          </reference>
        </references>
      </pivotArea>
    </chartFormat>
    <chartFormat chart="12" format="57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34"/>
          </reference>
        </references>
      </pivotArea>
    </chartFormat>
    <chartFormat chart="12" format="57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35"/>
          </reference>
        </references>
      </pivotArea>
    </chartFormat>
    <chartFormat chart="1691" format="5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1" format="577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91" format="57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91" format="57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35"/>
          </reference>
        </references>
      </pivotArea>
    </chartFormat>
    <chartFormat chart="1691" format="58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24"/>
          </reference>
        </references>
      </pivotArea>
    </chartFormat>
    <chartFormat chart="1691" format="58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36"/>
          </reference>
        </references>
      </pivotArea>
    </chartFormat>
    <chartFormat chart="1691" format="58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34"/>
          </reference>
        </references>
      </pivotArea>
    </chartFormat>
    <chartFormat chart="1691" format="58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92" format="5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2" format="585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92" format="58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92" format="587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35"/>
          </reference>
        </references>
      </pivotArea>
    </chartFormat>
    <chartFormat chart="1692" format="58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24"/>
          </reference>
        </references>
      </pivotArea>
    </chartFormat>
    <chartFormat chart="1692" format="58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36"/>
          </reference>
        </references>
      </pivotArea>
    </chartFormat>
    <chartFormat chart="1692" format="59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34"/>
          </reference>
        </references>
      </pivotArea>
    </chartFormat>
    <chartFormat chart="1692" format="59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95" format="5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5" format="577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95" format="57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95" format="57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35"/>
          </reference>
        </references>
      </pivotArea>
    </chartFormat>
    <chartFormat chart="1695" format="58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24"/>
          </reference>
        </references>
      </pivotArea>
    </chartFormat>
    <chartFormat chart="1695" format="58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36"/>
          </reference>
        </references>
      </pivotArea>
    </chartFormat>
    <chartFormat chart="1695" format="58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34"/>
          </reference>
        </references>
      </pivotArea>
    </chartFormat>
    <chartFormat chart="1695" format="58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2" format="57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40"/>
          </reference>
        </references>
      </pivotArea>
    </chartFormat>
    <chartFormat chart="12" format="57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42"/>
          </reference>
        </references>
      </pivotArea>
    </chartFormat>
    <chartFormat chart="12" format="57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43"/>
          </reference>
        </references>
      </pivotArea>
    </chartFormat>
    <chartFormat chart="12" format="57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38"/>
          </reference>
        </references>
      </pivotArea>
    </chartFormat>
    <chartFormat chart="1696" format="5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6" format="58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96" format="58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96" format="58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40"/>
          </reference>
        </references>
      </pivotArea>
    </chartFormat>
    <chartFormat chart="1696" format="58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42"/>
          </reference>
        </references>
      </pivotArea>
    </chartFormat>
    <chartFormat chart="1696" format="58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43"/>
          </reference>
        </references>
      </pivotArea>
    </chartFormat>
    <chartFormat chart="1696" format="58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38"/>
          </reference>
        </references>
      </pivotArea>
    </chartFormat>
    <chartFormat chart="1696" format="58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97" format="58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7" format="589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697" format="59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97" format="59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40"/>
          </reference>
        </references>
      </pivotArea>
    </chartFormat>
    <chartFormat chart="1697" format="59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42"/>
          </reference>
        </references>
      </pivotArea>
    </chartFormat>
    <chartFormat chart="1697" format="59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43"/>
          </reference>
        </references>
      </pivotArea>
    </chartFormat>
    <chartFormat chart="1697" format="59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38"/>
          </reference>
        </references>
      </pivotArea>
    </chartFormat>
    <chartFormat chart="1697" format="59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"/>
          </reference>
        </references>
      </pivotArea>
    </chartFormat>
    <chartFormat chart="12" format="580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46"/>
          </reference>
        </references>
      </pivotArea>
    </chartFormat>
    <chartFormat chart="12" format="58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47"/>
          </reference>
        </references>
      </pivotArea>
    </chartFormat>
    <chartFormat chart="12" format="582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647"/>
          </reference>
        </references>
      </pivotArea>
    </chartFormat>
    <chartFormat chart="12" format="583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648"/>
          </reference>
        </references>
      </pivotArea>
    </chartFormat>
    <chartFormat chart="12" format="58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48"/>
          </reference>
        </references>
      </pivotArea>
    </chartFormat>
    <chartFormat chart="12" format="58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44"/>
          </reference>
        </references>
      </pivotArea>
    </chartFormat>
    <chartFormat chart="12" format="58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52"/>
          </reference>
        </references>
      </pivotArea>
    </chartFormat>
    <chartFormat chart="12" format="58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54"/>
          </reference>
        </references>
      </pivotArea>
    </chartFormat>
    <chartFormat chart="12" format="588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654"/>
          </reference>
        </references>
      </pivotArea>
    </chartFormat>
    <chartFormat chart="12" format="58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55"/>
          </reference>
        </references>
      </pivotArea>
    </chartFormat>
    <chartFormat chart="12" format="59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49"/>
          </reference>
        </references>
      </pivotArea>
    </chartFormat>
    <chartFormat chart="12" format="59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51"/>
          </reference>
        </references>
      </pivotArea>
    </chartFormat>
    <chartFormat chart="1700" format="5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00" format="59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654"/>
          </reference>
        </references>
      </pivotArea>
    </chartFormat>
    <chartFormat chart="1700" format="59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00" format="59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52"/>
          </reference>
        </references>
      </pivotArea>
    </chartFormat>
    <chartFormat chart="1700" format="59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54"/>
          </reference>
        </references>
      </pivotArea>
    </chartFormat>
    <chartFormat chart="1700" format="59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55"/>
          </reference>
        </references>
      </pivotArea>
    </chartFormat>
    <chartFormat chart="1700" format="59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49"/>
          </reference>
        </references>
      </pivotArea>
    </chartFormat>
    <chartFormat chart="1700" format="59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51"/>
          </reference>
        </references>
      </pivotArea>
    </chartFormat>
    <chartFormat chart="1701" format="60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01" format="60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654"/>
          </reference>
        </references>
      </pivotArea>
    </chartFormat>
    <chartFormat chart="1701" format="60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01" format="60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52"/>
          </reference>
        </references>
      </pivotArea>
    </chartFormat>
    <chartFormat chart="1701" format="60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54"/>
          </reference>
        </references>
      </pivotArea>
    </chartFormat>
    <chartFormat chart="1701" format="60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55"/>
          </reference>
        </references>
      </pivotArea>
    </chartFormat>
    <chartFormat chart="1701" format="60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49"/>
          </reference>
        </references>
      </pivotArea>
    </chartFormat>
    <chartFormat chart="1701" format="60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51"/>
          </reference>
        </references>
      </pivotArea>
    </chartFormat>
    <chartFormat chart="12" format="59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58"/>
          </reference>
        </references>
      </pivotArea>
    </chartFormat>
    <chartFormat chart="12" format="59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59"/>
          </reference>
        </references>
      </pivotArea>
    </chartFormat>
    <chartFormat chart="12" format="59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60"/>
          </reference>
        </references>
      </pivotArea>
    </chartFormat>
    <chartFormat chart="12" format="59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57"/>
          </reference>
        </references>
      </pivotArea>
    </chartFormat>
    <chartFormat chart="1704" format="59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04" format="59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04" format="59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58"/>
          </reference>
        </references>
      </pivotArea>
    </chartFormat>
    <chartFormat chart="1704" format="59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59"/>
          </reference>
        </references>
      </pivotArea>
    </chartFormat>
    <chartFormat chart="1704" format="60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60"/>
          </reference>
        </references>
      </pivotArea>
    </chartFormat>
    <chartFormat chart="1704" format="60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57"/>
          </reference>
        </references>
      </pivotArea>
    </chartFormat>
    <chartFormat chart="1705" format="6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05" format="6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05" format="60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58"/>
          </reference>
        </references>
      </pivotArea>
    </chartFormat>
    <chartFormat chart="1705" format="60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59"/>
          </reference>
        </references>
      </pivotArea>
    </chartFormat>
    <chartFormat chart="1705" format="60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60"/>
          </reference>
        </references>
      </pivotArea>
    </chartFormat>
    <chartFormat chart="1705" format="60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57"/>
          </reference>
        </references>
      </pivotArea>
    </chartFormat>
    <chartFormat chart="12" format="59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63"/>
          </reference>
        </references>
      </pivotArea>
    </chartFormat>
    <chartFormat chart="12" format="59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66"/>
          </reference>
        </references>
      </pivotArea>
    </chartFormat>
    <chartFormat chart="12" format="59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64"/>
          </reference>
        </references>
      </pivotArea>
    </chartFormat>
    <chartFormat chart="12" format="59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61"/>
          </reference>
        </references>
      </pivotArea>
    </chartFormat>
    <chartFormat chart="12" format="60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72"/>
          </reference>
        </references>
      </pivotArea>
    </chartFormat>
    <chartFormat chart="12" format="60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73"/>
          </reference>
        </references>
      </pivotArea>
    </chartFormat>
    <chartFormat chart="12" format="60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69"/>
          </reference>
        </references>
      </pivotArea>
    </chartFormat>
    <chartFormat chart="12" format="60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67"/>
          </reference>
        </references>
      </pivotArea>
    </chartFormat>
    <chartFormat chart="1708" format="60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08" format="60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08" format="60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72"/>
          </reference>
        </references>
      </pivotArea>
    </chartFormat>
    <chartFormat chart="1708" format="60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73"/>
          </reference>
        </references>
      </pivotArea>
    </chartFormat>
    <chartFormat chart="1708" format="60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67"/>
          </reference>
        </references>
      </pivotArea>
    </chartFormat>
    <chartFormat chart="1708" format="60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69"/>
          </reference>
        </references>
      </pivotArea>
    </chartFormat>
    <chartFormat chart="1709" format="6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09" format="6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09" format="61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72"/>
          </reference>
        </references>
      </pivotArea>
    </chartFormat>
    <chartFormat chart="1709" format="61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73"/>
          </reference>
        </references>
      </pivotArea>
    </chartFormat>
    <chartFormat chart="1709" format="61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67"/>
          </reference>
        </references>
      </pivotArea>
    </chartFormat>
    <chartFormat chart="1709" format="61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69"/>
          </reference>
        </references>
      </pivotArea>
    </chartFormat>
    <chartFormat chart="12" format="60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70"/>
          </reference>
        </references>
      </pivotArea>
    </chartFormat>
    <chartFormat chart="12" format="60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75"/>
          </reference>
        </references>
      </pivotArea>
    </chartFormat>
    <chartFormat chart="12" format="60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79"/>
          </reference>
        </references>
      </pivotArea>
    </chartFormat>
    <chartFormat chart="12" format="60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78"/>
          </reference>
        </references>
      </pivotArea>
    </chartFormat>
    <chartFormat chart="12" format="60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76"/>
          </reference>
        </references>
      </pivotArea>
    </chartFormat>
    <chartFormat chart="1712" format="60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12" format="6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12" format="61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76"/>
          </reference>
        </references>
      </pivotArea>
    </chartFormat>
    <chartFormat chart="1712" format="61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78"/>
          </reference>
        </references>
      </pivotArea>
    </chartFormat>
    <chartFormat chart="1712" format="61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79"/>
          </reference>
        </references>
      </pivotArea>
    </chartFormat>
    <chartFormat chart="1712" format="61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75"/>
          </reference>
        </references>
      </pivotArea>
    </chartFormat>
    <chartFormat chart="1713" format="6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13" format="6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13" format="617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76"/>
          </reference>
        </references>
      </pivotArea>
    </chartFormat>
    <chartFormat chart="1713" format="61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78"/>
          </reference>
        </references>
      </pivotArea>
    </chartFormat>
    <chartFormat chart="1713" format="61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79"/>
          </reference>
        </references>
      </pivotArea>
    </chartFormat>
    <chartFormat chart="1713" format="62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75"/>
          </reference>
        </references>
      </pivotArea>
    </chartFormat>
    <chartFormat chart="1716" format="60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16" format="6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16" format="61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76"/>
          </reference>
        </references>
      </pivotArea>
    </chartFormat>
    <chartFormat chart="1716" format="61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78"/>
          </reference>
        </references>
      </pivotArea>
    </chartFormat>
    <chartFormat chart="1716" format="61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79"/>
          </reference>
        </references>
      </pivotArea>
    </chartFormat>
    <chartFormat chart="1716" format="61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75"/>
          </reference>
        </references>
      </pivotArea>
    </chartFormat>
    <chartFormat chart="1717" format="6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17" format="6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17" format="617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76"/>
          </reference>
        </references>
      </pivotArea>
    </chartFormat>
    <chartFormat chart="1717" format="61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78"/>
          </reference>
        </references>
      </pivotArea>
    </chartFormat>
    <chartFormat chart="1717" format="61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79"/>
          </reference>
        </references>
      </pivotArea>
    </chartFormat>
    <chartFormat chart="1717" format="62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75"/>
          </reference>
        </references>
      </pivotArea>
    </chartFormat>
    <chartFormat chart="1720" format="60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20" format="6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20" format="61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76"/>
          </reference>
        </references>
      </pivotArea>
    </chartFormat>
    <chartFormat chart="1720" format="61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79"/>
          </reference>
        </references>
      </pivotArea>
    </chartFormat>
    <chartFormat chart="1720" format="61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75"/>
          </reference>
        </references>
      </pivotArea>
    </chartFormat>
    <chartFormat chart="1721" format="6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21" format="6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21" format="61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76"/>
          </reference>
        </references>
      </pivotArea>
    </chartFormat>
    <chartFormat chart="1721" format="61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79"/>
          </reference>
        </references>
      </pivotArea>
    </chartFormat>
    <chartFormat chart="1721" format="61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75"/>
          </reference>
        </references>
      </pivotArea>
    </chartFormat>
    <chartFormat chart="12" format="60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84"/>
          </reference>
        </references>
      </pivotArea>
    </chartFormat>
    <chartFormat chart="12" format="61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83"/>
          </reference>
        </references>
      </pivotArea>
    </chartFormat>
    <chartFormat chart="12" format="61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86"/>
          </reference>
        </references>
      </pivotArea>
    </chartFormat>
    <chartFormat chart="12" format="61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82"/>
          </reference>
        </references>
      </pivotArea>
    </chartFormat>
    <chartFormat chart="12" format="61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85"/>
          </reference>
        </references>
      </pivotArea>
    </chartFormat>
    <chartFormat chart="1725" format="6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25" format="6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25" format="61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85"/>
          </reference>
        </references>
      </pivotArea>
    </chartFormat>
    <chartFormat chart="1725" format="61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82"/>
          </reference>
        </references>
      </pivotArea>
    </chartFormat>
    <chartFormat chart="1725" format="61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86"/>
          </reference>
        </references>
      </pivotArea>
    </chartFormat>
    <chartFormat chart="1725" format="61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83"/>
          </reference>
        </references>
      </pivotArea>
    </chartFormat>
    <chartFormat chart="1725" format="62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84"/>
          </reference>
        </references>
      </pivotArea>
    </chartFormat>
    <chartFormat chart="1726" format="6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26" format="6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26" format="62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85"/>
          </reference>
        </references>
      </pivotArea>
    </chartFormat>
    <chartFormat chart="1726" format="62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82"/>
          </reference>
        </references>
      </pivotArea>
    </chartFormat>
    <chartFormat chart="1726" format="62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86"/>
          </reference>
        </references>
      </pivotArea>
    </chartFormat>
    <chartFormat chart="1726" format="62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83"/>
          </reference>
        </references>
      </pivotArea>
    </chartFormat>
    <chartFormat chart="1726" format="62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84"/>
          </reference>
        </references>
      </pivotArea>
    </chartFormat>
    <chartFormat chart="12" format="61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89"/>
          </reference>
        </references>
      </pivotArea>
    </chartFormat>
    <chartFormat chart="12" format="61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91"/>
          </reference>
        </references>
      </pivotArea>
    </chartFormat>
    <chartFormat chart="12" format="61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92"/>
          </reference>
        </references>
      </pivotArea>
    </chartFormat>
    <chartFormat chart="12" format="61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87"/>
          </reference>
        </references>
      </pivotArea>
    </chartFormat>
    <chartFormat chart="12" format="61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88"/>
          </reference>
        </references>
      </pivotArea>
    </chartFormat>
    <chartFormat chart="1729" format="6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29" format="6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29" format="62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89"/>
          </reference>
        </references>
      </pivotArea>
    </chartFormat>
    <chartFormat chart="1729" format="62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91"/>
          </reference>
        </references>
      </pivotArea>
    </chartFormat>
    <chartFormat chart="1729" format="62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92"/>
          </reference>
        </references>
      </pivotArea>
    </chartFormat>
    <chartFormat chart="1729" format="62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87"/>
          </reference>
        </references>
      </pivotArea>
    </chartFormat>
    <chartFormat chart="1729" format="62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88"/>
          </reference>
        </references>
      </pivotArea>
    </chartFormat>
    <chartFormat chart="1730" format="6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0" format="62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30" format="62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89"/>
          </reference>
        </references>
      </pivotArea>
    </chartFormat>
    <chartFormat chart="1730" format="62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91"/>
          </reference>
        </references>
      </pivotArea>
    </chartFormat>
    <chartFormat chart="1730" format="63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92"/>
          </reference>
        </references>
      </pivotArea>
    </chartFormat>
    <chartFormat chart="1730" format="63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87"/>
          </reference>
        </references>
      </pivotArea>
    </chartFormat>
    <chartFormat chart="1730" format="63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88"/>
          </reference>
        </references>
      </pivotArea>
    </chartFormat>
    <chartFormat chart="12" format="61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94"/>
          </reference>
        </references>
      </pivotArea>
    </chartFormat>
    <chartFormat chart="12" format="62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93"/>
          </reference>
        </references>
      </pivotArea>
    </chartFormat>
    <chartFormat chart="12" format="62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97"/>
          </reference>
        </references>
      </pivotArea>
    </chartFormat>
    <chartFormat chart="12" format="62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96"/>
          </reference>
        </references>
      </pivotArea>
    </chartFormat>
    <chartFormat chart="12" format="62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95"/>
          </reference>
        </references>
      </pivotArea>
    </chartFormat>
    <chartFormat chart="1733" format="6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3" format="6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33" format="62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95"/>
          </reference>
        </references>
      </pivotArea>
    </chartFormat>
    <chartFormat chart="1733" format="62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96"/>
          </reference>
        </references>
      </pivotArea>
    </chartFormat>
    <chartFormat chart="1733" format="62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97"/>
          </reference>
        </references>
      </pivotArea>
    </chartFormat>
    <chartFormat chart="1733" format="62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93"/>
          </reference>
        </references>
      </pivotArea>
    </chartFormat>
    <chartFormat chart="1733" format="63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94"/>
          </reference>
        </references>
      </pivotArea>
    </chartFormat>
    <chartFormat chart="1734" format="6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4" format="6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34" format="62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95"/>
          </reference>
        </references>
      </pivotArea>
    </chartFormat>
    <chartFormat chart="1734" format="62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96"/>
          </reference>
        </references>
      </pivotArea>
    </chartFormat>
    <chartFormat chart="1734" format="62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97"/>
          </reference>
        </references>
      </pivotArea>
    </chartFormat>
    <chartFormat chart="1734" format="62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93"/>
          </reference>
        </references>
      </pivotArea>
    </chartFormat>
    <chartFormat chart="1734" format="63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94"/>
          </reference>
        </references>
      </pivotArea>
    </chartFormat>
    <chartFormat chart="1735" format="6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5" format="63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35" format="63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695"/>
          </reference>
        </references>
      </pivotArea>
    </chartFormat>
    <chartFormat chart="1735" format="63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96"/>
          </reference>
        </references>
      </pivotArea>
    </chartFormat>
    <chartFormat chart="1735" format="63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97"/>
          </reference>
        </references>
      </pivotArea>
    </chartFormat>
    <chartFormat chart="1735" format="63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93"/>
          </reference>
        </references>
      </pivotArea>
    </chartFormat>
    <chartFormat chart="1735" format="63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94"/>
          </reference>
        </references>
      </pivotArea>
    </chartFormat>
    <chartFormat chart="12" format="62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01"/>
          </reference>
        </references>
      </pivotArea>
    </chartFormat>
    <chartFormat chart="12" format="62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04"/>
          </reference>
        </references>
      </pivotArea>
    </chartFormat>
    <chartFormat chart="12" format="62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00"/>
          </reference>
        </references>
      </pivotArea>
    </chartFormat>
    <chartFormat chart="12" format="62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98"/>
          </reference>
        </references>
      </pivotArea>
    </chartFormat>
    <chartFormat chart="12" format="62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03"/>
          </reference>
        </references>
      </pivotArea>
    </chartFormat>
    <chartFormat chart="1738" format="6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8" format="6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38" format="63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01"/>
          </reference>
        </references>
      </pivotArea>
    </chartFormat>
    <chartFormat chart="1738" format="63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03"/>
          </reference>
        </references>
      </pivotArea>
    </chartFormat>
    <chartFormat chart="1738" format="63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04"/>
          </reference>
        </references>
      </pivotArea>
    </chartFormat>
    <chartFormat chart="1738" format="63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98"/>
          </reference>
        </references>
      </pivotArea>
    </chartFormat>
    <chartFormat chart="1738" format="63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00"/>
          </reference>
        </references>
      </pivotArea>
    </chartFormat>
    <chartFormat chart="1739" format="6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9" format="63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39" format="63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01"/>
          </reference>
        </references>
      </pivotArea>
    </chartFormat>
    <chartFormat chart="1739" format="63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03"/>
          </reference>
        </references>
      </pivotArea>
    </chartFormat>
    <chartFormat chart="1739" format="64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04"/>
          </reference>
        </references>
      </pivotArea>
    </chartFormat>
    <chartFormat chart="1739" format="64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98"/>
          </reference>
        </references>
      </pivotArea>
    </chartFormat>
    <chartFormat chart="1739" format="64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00"/>
          </reference>
        </references>
      </pivotArea>
    </chartFormat>
    <chartFormat chart="12" format="62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10"/>
          </reference>
        </references>
      </pivotArea>
    </chartFormat>
    <chartFormat chart="12" format="63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11"/>
          </reference>
        </references>
      </pivotArea>
    </chartFormat>
    <chartFormat chart="12" format="63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05"/>
          </reference>
        </references>
      </pivotArea>
    </chartFormat>
    <chartFormat chart="12" format="63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07"/>
          </reference>
        </references>
      </pivotArea>
    </chartFormat>
    <chartFormat chart="12" format="63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08"/>
          </reference>
        </references>
      </pivotArea>
    </chartFormat>
    <chartFormat chart="12" format="634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709"/>
          </reference>
        </references>
      </pivotArea>
    </chartFormat>
    <chartFormat chart="1742" format="6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42" format="63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42" format="637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08"/>
          </reference>
        </references>
      </pivotArea>
    </chartFormat>
    <chartFormat chart="1742" format="638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709"/>
          </reference>
        </references>
      </pivotArea>
    </chartFormat>
    <chartFormat chart="1742" format="63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10"/>
          </reference>
        </references>
      </pivotArea>
    </chartFormat>
    <chartFormat chart="1742" format="64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11"/>
          </reference>
        </references>
      </pivotArea>
    </chartFormat>
    <chartFormat chart="1742" format="64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05"/>
          </reference>
        </references>
      </pivotArea>
    </chartFormat>
    <chartFormat chart="1742" format="64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07"/>
          </reference>
        </references>
      </pivotArea>
    </chartFormat>
    <chartFormat chart="1743" format="6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43" format="6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43" format="64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08"/>
          </reference>
        </references>
      </pivotArea>
    </chartFormat>
    <chartFormat chart="1743" format="646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709"/>
          </reference>
        </references>
      </pivotArea>
    </chartFormat>
    <chartFormat chart="1743" format="64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10"/>
          </reference>
        </references>
      </pivotArea>
    </chartFormat>
    <chartFormat chart="1743" format="64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11"/>
          </reference>
        </references>
      </pivotArea>
    </chartFormat>
    <chartFormat chart="1743" format="64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05"/>
          </reference>
        </references>
      </pivotArea>
    </chartFormat>
    <chartFormat chart="1743" format="65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07"/>
          </reference>
        </references>
      </pivotArea>
    </chartFormat>
    <chartFormat chart="1746" format="6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46" format="63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46" format="637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08"/>
          </reference>
        </references>
      </pivotArea>
    </chartFormat>
    <chartFormat chart="1746" format="638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709"/>
          </reference>
        </references>
      </pivotArea>
    </chartFormat>
    <chartFormat chart="1746" format="63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10"/>
          </reference>
        </references>
      </pivotArea>
    </chartFormat>
    <chartFormat chart="1746" format="64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11"/>
          </reference>
        </references>
      </pivotArea>
    </chartFormat>
    <chartFormat chart="1746" format="64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05"/>
          </reference>
        </references>
      </pivotArea>
    </chartFormat>
    <chartFormat chart="1746" format="64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07"/>
          </reference>
        </references>
      </pivotArea>
    </chartFormat>
    <chartFormat chart="1747" format="6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47" format="6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47" format="64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08"/>
          </reference>
        </references>
      </pivotArea>
    </chartFormat>
    <chartFormat chart="1747" format="646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709"/>
          </reference>
        </references>
      </pivotArea>
    </chartFormat>
    <chartFormat chart="1747" format="64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10"/>
          </reference>
        </references>
      </pivotArea>
    </chartFormat>
    <chartFormat chart="1747" format="64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11"/>
          </reference>
        </references>
      </pivotArea>
    </chartFormat>
    <chartFormat chart="1747" format="64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05"/>
          </reference>
        </references>
      </pivotArea>
    </chartFormat>
    <chartFormat chart="1747" format="65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07"/>
          </reference>
        </references>
      </pivotArea>
    </chartFormat>
    <chartFormat chart="1760" format="6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60" format="63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60" format="637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08"/>
          </reference>
        </references>
      </pivotArea>
    </chartFormat>
    <chartFormat chart="1760" format="638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709"/>
          </reference>
        </references>
      </pivotArea>
    </chartFormat>
    <chartFormat chart="1760" format="63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10"/>
          </reference>
        </references>
      </pivotArea>
    </chartFormat>
    <chartFormat chart="1760" format="64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11"/>
          </reference>
        </references>
      </pivotArea>
    </chartFormat>
    <chartFormat chart="1760" format="64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05"/>
          </reference>
        </references>
      </pivotArea>
    </chartFormat>
    <chartFormat chart="1760" format="64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07"/>
          </reference>
        </references>
      </pivotArea>
    </chartFormat>
    <chartFormat chart="1761" format="6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61" format="6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61" format="64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08"/>
          </reference>
        </references>
      </pivotArea>
    </chartFormat>
    <chartFormat chart="1761" format="646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709"/>
          </reference>
        </references>
      </pivotArea>
    </chartFormat>
    <chartFormat chart="1761" format="64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10"/>
          </reference>
        </references>
      </pivotArea>
    </chartFormat>
    <chartFormat chart="1761" format="64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11"/>
          </reference>
        </references>
      </pivotArea>
    </chartFormat>
    <chartFormat chart="1761" format="64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05"/>
          </reference>
        </references>
      </pivotArea>
    </chartFormat>
    <chartFormat chart="1761" format="65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07"/>
          </reference>
        </references>
      </pivotArea>
    </chartFormat>
    <chartFormat chart="12" format="63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22"/>
          </reference>
        </references>
      </pivotArea>
    </chartFormat>
    <chartFormat chart="12" format="63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24"/>
          </reference>
        </references>
      </pivotArea>
    </chartFormat>
    <chartFormat chart="12" format="63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25"/>
          </reference>
        </references>
      </pivotArea>
    </chartFormat>
    <chartFormat chart="12" format="63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19"/>
          </reference>
        </references>
      </pivotArea>
    </chartFormat>
    <chartFormat chart="12" format="63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21"/>
          </reference>
        </references>
      </pivotArea>
    </chartFormat>
    <chartFormat chart="1764" format="6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64" format="64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64" format="64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22"/>
          </reference>
        </references>
      </pivotArea>
    </chartFormat>
    <chartFormat chart="1764" format="64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24"/>
          </reference>
        </references>
      </pivotArea>
    </chartFormat>
    <chartFormat chart="1764" format="64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25"/>
          </reference>
        </references>
      </pivotArea>
    </chartFormat>
    <chartFormat chart="1764" format="64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19"/>
          </reference>
        </references>
      </pivotArea>
    </chartFormat>
    <chartFormat chart="1764" format="64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21"/>
          </reference>
        </references>
      </pivotArea>
    </chartFormat>
    <chartFormat chart="1765" format="6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65" format="64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65" format="64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22"/>
          </reference>
        </references>
      </pivotArea>
    </chartFormat>
    <chartFormat chart="1765" format="65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24"/>
          </reference>
        </references>
      </pivotArea>
    </chartFormat>
    <chartFormat chart="1765" format="65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25"/>
          </reference>
        </references>
      </pivotArea>
    </chartFormat>
    <chartFormat chart="1765" format="65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19"/>
          </reference>
        </references>
      </pivotArea>
    </chartFormat>
    <chartFormat chart="1765" format="65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21"/>
          </reference>
        </references>
      </pivotArea>
    </chartFormat>
    <chartFormat chart="12" format="640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28"/>
          </reference>
        </references>
      </pivotArea>
    </chartFormat>
    <chartFormat chart="12" format="64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30"/>
          </reference>
        </references>
      </pivotArea>
    </chartFormat>
    <chartFormat chart="12" format="64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31"/>
          </reference>
        </references>
      </pivotArea>
    </chartFormat>
    <chartFormat chart="12" format="64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26"/>
          </reference>
        </references>
      </pivotArea>
    </chartFormat>
    <chartFormat chart="12" format="64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27"/>
          </reference>
        </references>
      </pivotArea>
    </chartFormat>
    <chartFormat chart="1768" format="6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68" format="64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68" format="647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28"/>
          </reference>
        </references>
      </pivotArea>
    </chartFormat>
    <chartFormat chart="1768" format="64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30"/>
          </reference>
        </references>
      </pivotArea>
    </chartFormat>
    <chartFormat chart="1768" format="64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31"/>
          </reference>
        </references>
      </pivotArea>
    </chartFormat>
    <chartFormat chart="1768" format="65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26"/>
          </reference>
        </references>
      </pivotArea>
    </chartFormat>
    <chartFormat chart="1768" format="65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27"/>
          </reference>
        </references>
      </pivotArea>
    </chartFormat>
    <chartFormat chart="1769" format="6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69" format="6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69" format="65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28"/>
          </reference>
        </references>
      </pivotArea>
    </chartFormat>
    <chartFormat chart="1769" format="65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30"/>
          </reference>
        </references>
      </pivotArea>
    </chartFormat>
    <chartFormat chart="1769" format="65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31"/>
          </reference>
        </references>
      </pivotArea>
    </chartFormat>
    <chartFormat chart="1769" format="65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26"/>
          </reference>
        </references>
      </pivotArea>
    </chartFormat>
    <chartFormat chart="1769" format="65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27"/>
          </reference>
        </references>
      </pivotArea>
    </chartFormat>
    <chartFormat chart="12" format="64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33"/>
          </reference>
        </references>
      </pivotArea>
    </chartFormat>
    <chartFormat chart="12" format="64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36"/>
          </reference>
        </references>
      </pivotArea>
    </chartFormat>
    <chartFormat chart="12" format="64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37"/>
          </reference>
        </references>
      </pivotArea>
    </chartFormat>
    <chartFormat chart="12" format="64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35"/>
          </reference>
        </references>
      </pivotArea>
    </chartFormat>
    <chartFormat chart="12" format="64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34"/>
          </reference>
        </references>
      </pivotArea>
    </chartFormat>
    <chartFormat chart="1772" format="6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2" format="6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72" format="65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36"/>
          </reference>
        </references>
      </pivotArea>
    </chartFormat>
    <chartFormat chart="1772" format="65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33"/>
          </reference>
        </references>
      </pivotArea>
    </chartFormat>
    <chartFormat chart="1772" format="65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37"/>
          </reference>
        </references>
      </pivotArea>
    </chartFormat>
    <chartFormat chart="1772" format="65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34"/>
          </reference>
        </references>
      </pivotArea>
    </chartFormat>
    <chartFormat chart="1772" format="65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35"/>
          </reference>
        </references>
      </pivotArea>
    </chartFormat>
    <chartFormat chart="1773" format="6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3" format="6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73" format="65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36"/>
          </reference>
        </references>
      </pivotArea>
    </chartFormat>
    <chartFormat chart="1773" format="66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33"/>
          </reference>
        </references>
      </pivotArea>
    </chartFormat>
    <chartFormat chart="1773" format="66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37"/>
          </reference>
        </references>
      </pivotArea>
    </chartFormat>
    <chartFormat chart="1773" format="66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34"/>
          </reference>
        </references>
      </pivotArea>
    </chartFormat>
    <chartFormat chart="1773" format="66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35"/>
          </reference>
        </references>
      </pivotArea>
    </chartFormat>
    <chartFormat chart="12" format="650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40"/>
          </reference>
        </references>
      </pivotArea>
    </chartFormat>
    <chartFormat chart="12" format="65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39"/>
          </reference>
        </references>
      </pivotArea>
    </chartFormat>
    <chartFormat chart="12" format="65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43"/>
          </reference>
        </references>
      </pivotArea>
    </chartFormat>
    <chartFormat chart="12" format="65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42"/>
          </reference>
        </references>
      </pivotArea>
    </chartFormat>
    <chartFormat chart="12" format="65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38"/>
          </reference>
        </references>
      </pivotArea>
    </chartFormat>
    <chartFormat chart="1776" format="6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6" format="6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76" format="657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40"/>
          </reference>
        </references>
      </pivotArea>
    </chartFormat>
    <chartFormat chart="1776" format="65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42"/>
          </reference>
        </references>
      </pivotArea>
    </chartFormat>
    <chartFormat chart="1776" format="65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43"/>
          </reference>
        </references>
      </pivotArea>
    </chartFormat>
    <chartFormat chart="1776" format="66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38"/>
          </reference>
        </references>
      </pivotArea>
    </chartFormat>
    <chartFormat chart="1776" format="66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39"/>
          </reference>
        </references>
      </pivotArea>
    </chartFormat>
    <chartFormat chart="1777" format="6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7" format="6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77" format="66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40"/>
          </reference>
        </references>
      </pivotArea>
    </chartFormat>
    <chartFormat chart="1777" format="66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42"/>
          </reference>
        </references>
      </pivotArea>
    </chartFormat>
    <chartFormat chart="1777" format="66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43"/>
          </reference>
        </references>
      </pivotArea>
    </chartFormat>
    <chartFormat chart="1777" format="66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38"/>
          </reference>
        </references>
      </pivotArea>
    </chartFormat>
    <chartFormat chart="1777" format="66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39"/>
          </reference>
        </references>
      </pivotArea>
    </chartFormat>
    <chartFormat chart="12" format="65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46"/>
          </reference>
        </references>
      </pivotArea>
    </chartFormat>
    <chartFormat chart="12" format="65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47"/>
          </reference>
        </references>
      </pivotArea>
    </chartFormat>
    <chartFormat chart="12" format="65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44"/>
          </reference>
        </references>
      </pivotArea>
    </chartFormat>
    <chartFormat chart="12" format="65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45"/>
          </reference>
        </references>
      </pivotArea>
    </chartFormat>
    <chartFormat chart="12" format="65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52"/>
          </reference>
        </references>
      </pivotArea>
    </chartFormat>
    <chartFormat chart="12" format="66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51"/>
          </reference>
        </references>
      </pivotArea>
    </chartFormat>
    <chartFormat chart="12" format="66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49"/>
          </reference>
        </references>
      </pivotArea>
    </chartFormat>
    <chartFormat chart="12" format="66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50"/>
          </reference>
        </references>
      </pivotArea>
    </chartFormat>
    <chartFormat chart="1784" format="6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84" format="664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784" format="6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84" format="66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52"/>
          </reference>
        </references>
      </pivotArea>
    </chartFormat>
    <chartFormat chart="1784" format="66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49"/>
          </reference>
        </references>
      </pivotArea>
    </chartFormat>
    <chartFormat chart="1784" format="66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784" format="66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50"/>
          </reference>
        </references>
      </pivotArea>
    </chartFormat>
    <chartFormat chart="1784" format="67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51"/>
          </reference>
        </references>
      </pivotArea>
    </chartFormat>
    <chartFormat chart="1785" format="6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85" format="67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785" format="67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85" format="67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52"/>
          </reference>
        </references>
      </pivotArea>
    </chartFormat>
    <chartFormat chart="1785" format="67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49"/>
          </reference>
        </references>
      </pivotArea>
    </chartFormat>
    <chartFormat chart="1785" format="67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785" format="67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50"/>
          </reference>
        </references>
      </pivotArea>
    </chartFormat>
    <chartFormat chart="1785" format="67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51"/>
          </reference>
        </references>
      </pivotArea>
    </chartFormat>
    <chartFormat chart="12" format="66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55"/>
          </reference>
        </references>
      </pivotArea>
    </chartFormat>
    <chartFormat chart="12" format="66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57"/>
          </reference>
        </references>
      </pivotArea>
    </chartFormat>
    <chartFormat chart="12" format="66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58"/>
          </reference>
        </references>
      </pivotArea>
    </chartFormat>
    <chartFormat chart="12" format="66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54"/>
          </reference>
        </references>
      </pivotArea>
    </chartFormat>
    <chartFormat chart="1788" format="6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88" format="66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88" format="66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55"/>
          </reference>
        </references>
      </pivotArea>
    </chartFormat>
    <chartFormat chart="1788" format="67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57"/>
          </reference>
        </references>
      </pivotArea>
    </chartFormat>
    <chartFormat chart="1788" format="67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58"/>
          </reference>
        </references>
      </pivotArea>
    </chartFormat>
    <chartFormat chart="1788" format="67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54"/>
          </reference>
        </references>
      </pivotArea>
    </chartFormat>
    <chartFormat chart="1789" format="6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89" format="67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89" format="67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55"/>
          </reference>
        </references>
      </pivotArea>
    </chartFormat>
    <chartFormat chart="1789" format="67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57"/>
          </reference>
        </references>
      </pivotArea>
    </chartFormat>
    <chartFormat chart="1789" format="67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58"/>
          </reference>
        </references>
      </pivotArea>
    </chartFormat>
    <chartFormat chart="1789" format="67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54"/>
          </reference>
        </references>
      </pivotArea>
    </chartFormat>
    <chartFormat chart="12" format="667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62"/>
          </reference>
        </references>
      </pivotArea>
    </chartFormat>
    <chartFormat chart="12" format="66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61"/>
          </reference>
        </references>
      </pivotArea>
    </chartFormat>
    <chartFormat chart="12" format="66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64"/>
          </reference>
        </references>
      </pivotArea>
    </chartFormat>
    <chartFormat chart="1792" format="6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2" format="67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92" format="67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62"/>
          </reference>
        </references>
      </pivotArea>
    </chartFormat>
    <chartFormat chart="1792" format="67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64"/>
          </reference>
        </references>
      </pivotArea>
    </chartFormat>
    <chartFormat chart="1792" format="67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58"/>
          </reference>
        </references>
      </pivotArea>
    </chartFormat>
    <chartFormat chart="1792" format="67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61"/>
          </reference>
        </references>
      </pivotArea>
    </chartFormat>
    <chartFormat chart="1793" format="6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3" format="67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93" format="67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62"/>
          </reference>
        </references>
      </pivotArea>
    </chartFormat>
    <chartFormat chart="1793" format="67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64"/>
          </reference>
        </references>
      </pivotArea>
    </chartFormat>
    <chartFormat chart="1793" format="68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58"/>
          </reference>
        </references>
      </pivotArea>
    </chartFormat>
    <chartFormat chart="1793" format="68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61"/>
          </reference>
        </references>
      </pivotArea>
    </chartFormat>
    <chartFormat chart="12" format="67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67"/>
          </reference>
        </references>
      </pivotArea>
    </chartFormat>
    <chartFormat chart="12" format="67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68"/>
          </reference>
        </references>
      </pivotArea>
    </chartFormat>
    <chartFormat chart="12" format="67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65"/>
          </reference>
        </references>
      </pivotArea>
    </chartFormat>
    <chartFormat chart="1796" format="6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6" format="67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96" format="67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24"/>
          </reference>
        </references>
      </pivotArea>
    </chartFormat>
    <chartFormat chart="1796" format="67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67"/>
          </reference>
        </references>
      </pivotArea>
    </chartFormat>
    <chartFormat chart="1796" format="67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68"/>
          </reference>
        </references>
      </pivotArea>
    </chartFormat>
    <chartFormat chart="1796" format="67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65"/>
          </reference>
        </references>
      </pivotArea>
    </chartFormat>
    <chartFormat chart="1796" format="67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61"/>
          </reference>
        </references>
      </pivotArea>
    </chartFormat>
    <chartFormat chart="1797" format="6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7" format="67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97" format="67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24"/>
          </reference>
        </references>
      </pivotArea>
    </chartFormat>
    <chartFormat chart="1797" format="67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67"/>
          </reference>
        </references>
      </pivotArea>
    </chartFormat>
    <chartFormat chart="1797" format="67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68"/>
          </reference>
        </references>
      </pivotArea>
    </chartFormat>
    <chartFormat chart="1797" format="67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65"/>
          </reference>
        </references>
      </pivotArea>
    </chartFormat>
    <chartFormat chart="1797" format="67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61"/>
          </reference>
        </references>
      </pivotArea>
    </chartFormat>
    <chartFormat chart="1798" format="6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8" format="68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98" format="68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24"/>
          </reference>
        </references>
      </pivotArea>
    </chartFormat>
    <chartFormat chart="1798" format="68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67"/>
          </reference>
        </references>
      </pivotArea>
    </chartFormat>
    <chartFormat chart="1798" format="68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68"/>
          </reference>
        </references>
      </pivotArea>
    </chartFormat>
    <chartFormat chart="1798" format="68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65"/>
          </reference>
        </references>
      </pivotArea>
    </chartFormat>
    <chartFormat chart="1798" format="68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61"/>
          </reference>
        </references>
      </pivotArea>
    </chartFormat>
    <chartFormat chart="12" format="67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70"/>
          </reference>
        </references>
      </pivotArea>
    </chartFormat>
    <chartFormat chart="12" format="67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69"/>
          </reference>
        </references>
      </pivotArea>
    </chartFormat>
    <chartFormat chart="12" format="67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73"/>
          </reference>
        </references>
      </pivotArea>
    </chartFormat>
    <chartFormat chart="12" format="67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72"/>
          </reference>
        </references>
      </pivotArea>
    </chartFormat>
    <chartFormat chart="1801" format="6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1" format="67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01" format="67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24"/>
          </reference>
        </references>
      </pivotArea>
    </chartFormat>
    <chartFormat chart="1801" format="68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72"/>
          </reference>
        </references>
      </pivotArea>
    </chartFormat>
    <chartFormat chart="1801" format="68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73"/>
          </reference>
        </references>
      </pivotArea>
    </chartFormat>
    <chartFormat chart="1801" format="68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69"/>
          </reference>
        </references>
      </pivotArea>
    </chartFormat>
    <chartFormat chart="1801" format="68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70"/>
          </reference>
        </references>
      </pivotArea>
    </chartFormat>
    <chartFormat chart="1802" format="6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2" format="68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02" format="68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24"/>
          </reference>
        </references>
      </pivotArea>
    </chartFormat>
    <chartFormat chart="1802" format="68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72"/>
          </reference>
        </references>
      </pivotArea>
    </chartFormat>
    <chartFormat chart="1802" format="68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73"/>
          </reference>
        </references>
      </pivotArea>
    </chartFormat>
    <chartFormat chart="1802" format="68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69"/>
          </reference>
        </references>
      </pivotArea>
    </chartFormat>
    <chartFormat chart="1802" format="69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70"/>
          </reference>
        </references>
      </pivotArea>
    </chartFormat>
    <chartFormat chart="12" format="677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77"/>
          </reference>
        </references>
      </pivotArea>
    </chartFormat>
    <chartFormat chart="12" format="67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79"/>
          </reference>
        </references>
      </pivotArea>
    </chartFormat>
    <chartFormat chart="12" format="67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80"/>
          </reference>
        </references>
      </pivotArea>
    </chartFormat>
    <chartFormat chart="12" format="68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76"/>
          </reference>
        </references>
      </pivotArea>
    </chartFormat>
    <chartFormat chart="12" format="68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74"/>
          </reference>
        </references>
      </pivotArea>
    </chartFormat>
    <chartFormat chart="1805" format="68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5" format="68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05" format="68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77"/>
          </reference>
        </references>
      </pivotArea>
    </chartFormat>
    <chartFormat chart="1805" format="68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79"/>
          </reference>
        </references>
      </pivotArea>
    </chartFormat>
    <chartFormat chart="1805" format="68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80"/>
          </reference>
        </references>
      </pivotArea>
    </chartFormat>
    <chartFormat chart="1805" format="68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74"/>
          </reference>
        </references>
      </pivotArea>
    </chartFormat>
    <chartFormat chart="1805" format="68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76"/>
          </reference>
        </references>
      </pivotArea>
    </chartFormat>
    <chartFormat chart="1806" format="68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6" format="69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06" format="69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77"/>
          </reference>
        </references>
      </pivotArea>
    </chartFormat>
    <chartFormat chart="1806" format="69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79"/>
          </reference>
        </references>
      </pivotArea>
    </chartFormat>
    <chartFormat chart="1806" format="69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80"/>
          </reference>
        </references>
      </pivotArea>
    </chartFormat>
    <chartFormat chart="1806" format="69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74"/>
          </reference>
        </references>
      </pivotArea>
    </chartFormat>
    <chartFormat chart="1806" format="69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76"/>
          </reference>
        </references>
      </pivotArea>
    </chartFormat>
    <chartFormat chart="12" format="68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85"/>
          </reference>
        </references>
      </pivotArea>
    </chartFormat>
    <chartFormat chart="12" format="68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86"/>
          </reference>
        </references>
      </pivotArea>
    </chartFormat>
    <chartFormat chart="12" format="68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81"/>
          </reference>
        </references>
      </pivotArea>
    </chartFormat>
    <chartFormat chart="1809" format="68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9" format="68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09" format="68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85"/>
          </reference>
        </references>
      </pivotArea>
    </chartFormat>
    <chartFormat chart="1809" format="68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86"/>
          </reference>
        </references>
      </pivotArea>
    </chartFormat>
    <chartFormat chart="1809" format="68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81"/>
          </reference>
        </references>
      </pivotArea>
    </chartFormat>
    <chartFormat chart="1810" format="69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10" format="69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10" format="69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85"/>
          </reference>
        </references>
      </pivotArea>
    </chartFormat>
    <chartFormat chart="1810" format="69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86"/>
          </reference>
        </references>
      </pivotArea>
    </chartFormat>
    <chartFormat chart="1810" format="69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81"/>
          </reference>
        </references>
      </pivotArea>
    </chartFormat>
    <chartFormat chart="12" format="68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87"/>
          </reference>
        </references>
      </pivotArea>
    </chartFormat>
    <chartFormat chart="12" format="68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92"/>
          </reference>
        </references>
      </pivotArea>
    </chartFormat>
    <chartFormat chart="12" format="68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91"/>
          </reference>
        </references>
      </pivotArea>
    </chartFormat>
    <chartFormat chart="12" format="68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89"/>
          </reference>
        </references>
      </pivotArea>
    </chartFormat>
    <chartFormat chart="12" format="68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88"/>
          </reference>
        </references>
      </pivotArea>
    </chartFormat>
    <chartFormat chart="1814" format="69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14" format="69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14" format="69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89"/>
          </reference>
        </references>
      </pivotArea>
    </chartFormat>
    <chartFormat chart="1814" format="69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91"/>
          </reference>
        </references>
      </pivotArea>
    </chartFormat>
    <chartFormat chart="1814" format="69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92"/>
          </reference>
        </references>
      </pivotArea>
    </chartFormat>
    <chartFormat chart="1814" format="69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87"/>
          </reference>
        </references>
      </pivotArea>
    </chartFormat>
    <chartFormat chart="1814" format="69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88"/>
          </reference>
        </references>
      </pivotArea>
    </chartFormat>
    <chartFormat chart="1815" format="6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15" format="69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15" format="69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89"/>
          </reference>
        </references>
      </pivotArea>
    </chartFormat>
    <chartFormat chart="1815" format="70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791"/>
          </reference>
        </references>
      </pivotArea>
    </chartFormat>
    <chartFormat chart="1815" format="70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92"/>
          </reference>
        </references>
      </pivotArea>
    </chartFormat>
    <chartFormat chart="1815" format="70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87"/>
          </reference>
        </references>
      </pivotArea>
    </chartFormat>
    <chartFormat chart="1815" format="70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88"/>
          </reference>
        </references>
      </pivotArea>
    </chartFormat>
    <chartFormat chart="12" format="690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795"/>
          </reference>
        </references>
      </pivotArea>
    </chartFormat>
    <chartFormat chart="12" format="69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98"/>
          </reference>
        </references>
      </pivotArea>
    </chartFormat>
    <chartFormat chart="12" format="69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94"/>
          </reference>
        </references>
      </pivotArea>
    </chartFormat>
    <chartFormat chart="12" format="69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93"/>
          </reference>
        </references>
      </pivotArea>
    </chartFormat>
    <chartFormat chart="12" format="69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05"/>
          </reference>
        </references>
      </pivotArea>
    </chartFormat>
    <chartFormat chart="12" format="69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04"/>
          </reference>
        </references>
      </pivotArea>
    </chartFormat>
    <chartFormat chart="12" format="69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02"/>
          </reference>
        </references>
      </pivotArea>
    </chartFormat>
    <chartFormat chart="12" format="69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99"/>
          </reference>
        </references>
      </pivotArea>
    </chartFormat>
    <chartFormat chart="12" format="69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01"/>
          </reference>
        </references>
      </pivotArea>
    </chartFormat>
    <chartFormat chart="1822" format="69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22" format="70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22" format="70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02"/>
          </reference>
        </references>
      </pivotArea>
    </chartFormat>
    <chartFormat chart="1822" format="70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04"/>
          </reference>
        </references>
      </pivotArea>
    </chartFormat>
    <chartFormat chart="1822" format="70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05"/>
          </reference>
        </references>
      </pivotArea>
    </chartFormat>
    <chartFormat chart="1822" format="70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99"/>
          </reference>
        </references>
      </pivotArea>
    </chartFormat>
    <chartFormat chart="1822" format="70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01"/>
          </reference>
        </references>
      </pivotArea>
    </chartFormat>
    <chartFormat chart="1823" format="70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23" format="70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23" format="70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02"/>
          </reference>
        </references>
      </pivotArea>
    </chartFormat>
    <chartFormat chart="1823" format="70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04"/>
          </reference>
        </references>
      </pivotArea>
    </chartFormat>
    <chartFormat chart="1823" format="71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05"/>
          </reference>
        </references>
      </pivotArea>
    </chartFormat>
    <chartFormat chart="1823" format="71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99"/>
          </reference>
        </references>
      </pivotArea>
    </chartFormat>
    <chartFormat chart="1823" format="71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01"/>
          </reference>
        </references>
      </pivotArea>
    </chartFormat>
    <chartFormat chart="12" format="69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07"/>
          </reference>
        </references>
      </pivotArea>
    </chartFormat>
    <chartFormat chart="12" format="70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06"/>
          </reference>
        </references>
      </pivotArea>
    </chartFormat>
    <chartFormat chart="12" format="70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09"/>
          </reference>
        </references>
      </pivotArea>
    </chartFormat>
    <chartFormat chart="12" format="70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08"/>
          </reference>
        </references>
      </pivotArea>
    </chartFormat>
    <chartFormat chart="1826" format="70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26" format="70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26" format="70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07"/>
          </reference>
        </references>
      </pivotArea>
    </chartFormat>
    <chartFormat chart="1826" format="70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08"/>
          </reference>
        </references>
      </pivotArea>
    </chartFormat>
    <chartFormat chart="1826" format="70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09"/>
          </reference>
        </references>
      </pivotArea>
    </chartFormat>
    <chartFormat chart="1826" format="70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99"/>
          </reference>
        </references>
      </pivotArea>
    </chartFormat>
    <chartFormat chart="1826" format="70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06"/>
          </reference>
        </references>
      </pivotArea>
    </chartFormat>
    <chartFormat chart="1827" format="7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27" format="7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27" format="71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07"/>
          </reference>
        </references>
      </pivotArea>
    </chartFormat>
    <chartFormat chart="1827" format="71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08"/>
          </reference>
        </references>
      </pivotArea>
    </chartFormat>
    <chartFormat chart="1827" format="71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09"/>
          </reference>
        </references>
      </pivotArea>
    </chartFormat>
    <chartFormat chart="1827" format="71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99"/>
          </reference>
        </references>
      </pivotArea>
    </chartFormat>
    <chartFormat chart="1827" format="71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06"/>
          </reference>
        </references>
      </pivotArea>
    </chartFormat>
    <chartFormat chart="12" format="70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12"/>
          </reference>
        </references>
      </pivotArea>
    </chartFormat>
    <chartFormat chart="12" format="70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11"/>
          </reference>
        </references>
      </pivotArea>
    </chartFormat>
    <chartFormat chart="12" format="70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15"/>
          </reference>
        </references>
      </pivotArea>
    </chartFormat>
    <chartFormat chart="12" format="70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14"/>
          </reference>
        </references>
      </pivotArea>
    </chartFormat>
    <chartFormat chart="1830" format="7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30" format="70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30" format="70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12"/>
          </reference>
        </references>
      </pivotArea>
    </chartFormat>
    <chartFormat chart="1830" format="71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14"/>
          </reference>
        </references>
      </pivotArea>
    </chartFormat>
    <chartFormat chart="1830" format="71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15"/>
          </reference>
        </references>
      </pivotArea>
    </chartFormat>
    <chartFormat chart="1830" format="71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11"/>
          </reference>
        </references>
      </pivotArea>
    </chartFormat>
    <chartFormat chart="1831" format="7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31" format="7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31" format="71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12"/>
          </reference>
        </references>
      </pivotArea>
    </chartFormat>
    <chartFormat chart="1831" format="71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14"/>
          </reference>
        </references>
      </pivotArea>
    </chartFormat>
    <chartFormat chart="1831" format="71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15"/>
          </reference>
        </references>
      </pivotArea>
    </chartFormat>
    <chartFormat chart="1831" format="71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11"/>
          </reference>
        </references>
      </pivotArea>
    </chartFormat>
    <chartFormat chart="12" format="70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10"/>
          </reference>
        </references>
      </pivotArea>
    </chartFormat>
    <chartFormat chart="12" format="70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17"/>
          </reference>
        </references>
      </pivotArea>
    </chartFormat>
    <chartFormat chart="12" format="70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21"/>
          </reference>
        </references>
      </pivotArea>
    </chartFormat>
    <chartFormat chart="12" format="71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20"/>
          </reference>
        </references>
      </pivotArea>
    </chartFormat>
    <chartFormat chart="12" format="71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18"/>
          </reference>
        </references>
      </pivotArea>
    </chartFormat>
    <chartFormat chart="1834" format="7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34" format="7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34" format="71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18"/>
          </reference>
        </references>
      </pivotArea>
    </chartFormat>
    <chartFormat chart="1834" format="71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20"/>
          </reference>
        </references>
      </pivotArea>
    </chartFormat>
    <chartFormat chart="1834" format="71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21"/>
          </reference>
        </references>
      </pivotArea>
    </chartFormat>
    <chartFormat chart="1834" format="71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17"/>
          </reference>
        </references>
      </pivotArea>
    </chartFormat>
    <chartFormat chart="1835" format="7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35" format="7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35" format="720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18"/>
          </reference>
        </references>
      </pivotArea>
    </chartFormat>
    <chartFormat chart="1835" format="72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20"/>
          </reference>
        </references>
      </pivotArea>
    </chartFormat>
    <chartFormat chart="1835" format="72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21"/>
          </reference>
        </references>
      </pivotArea>
    </chartFormat>
    <chartFormat chart="1835" format="72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17"/>
          </reference>
        </references>
      </pivotArea>
    </chartFormat>
    <chartFormat chart="12" format="71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24"/>
          </reference>
        </references>
      </pivotArea>
    </chartFormat>
    <chartFormat chart="12" format="71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22"/>
          </reference>
        </references>
      </pivotArea>
    </chartFormat>
    <chartFormat chart="12" format="71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28"/>
          </reference>
        </references>
      </pivotArea>
    </chartFormat>
    <chartFormat chart="12" format="71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27"/>
          </reference>
        </references>
      </pivotArea>
    </chartFormat>
    <chartFormat chart="12" format="71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25"/>
          </reference>
        </references>
      </pivotArea>
    </chartFormat>
    <chartFormat chart="12" format="717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32"/>
          </reference>
        </references>
      </pivotArea>
    </chartFormat>
    <chartFormat chart="12" format="71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34"/>
          </reference>
        </references>
      </pivotArea>
    </chartFormat>
    <chartFormat chart="12" format="71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29"/>
          </reference>
        </references>
      </pivotArea>
    </chartFormat>
    <chartFormat chart="12" format="72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31"/>
          </reference>
        </references>
      </pivotArea>
    </chartFormat>
    <chartFormat chart="1838" format="7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38" format="72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38" format="7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38" format="72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32"/>
          </reference>
        </references>
      </pivotArea>
    </chartFormat>
    <chartFormat chart="1838" format="72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34"/>
          </reference>
        </references>
      </pivotArea>
    </chartFormat>
    <chartFormat chart="1838" format="72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38" format="72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29"/>
          </reference>
        </references>
      </pivotArea>
    </chartFormat>
    <chartFormat chart="1838" format="72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31"/>
          </reference>
        </references>
      </pivotArea>
    </chartFormat>
    <chartFormat chart="1839" format="7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39" format="730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39" format="73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39" format="73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32"/>
          </reference>
        </references>
      </pivotArea>
    </chartFormat>
    <chartFormat chart="1839" format="73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34"/>
          </reference>
        </references>
      </pivotArea>
    </chartFormat>
    <chartFormat chart="1839" format="73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39" format="73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29"/>
          </reference>
        </references>
      </pivotArea>
    </chartFormat>
    <chartFormat chart="1839" format="73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31"/>
          </reference>
        </references>
      </pivotArea>
    </chartFormat>
    <chartFormat chart="12" format="72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36"/>
          </reference>
        </references>
      </pivotArea>
    </chartFormat>
    <chartFormat chart="12" format="72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37"/>
          </reference>
        </references>
      </pivotArea>
    </chartFormat>
    <chartFormat chart="12" format="72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39"/>
          </reference>
        </references>
      </pivotArea>
    </chartFormat>
    <chartFormat chart="12" format="72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35"/>
          </reference>
        </references>
      </pivotArea>
    </chartFormat>
    <chartFormat chart="1842" format="7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42" format="72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42" format="72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42" format="72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37"/>
          </reference>
        </references>
      </pivotArea>
    </chartFormat>
    <chartFormat chart="1842" format="72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39"/>
          </reference>
        </references>
      </pivotArea>
    </chartFormat>
    <chartFormat chart="1842" format="73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42" format="73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35"/>
          </reference>
        </references>
      </pivotArea>
    </chartFormat>
    <chartFormat chart="1842" format="73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36"/>
          </reference>
        </references>
      </pivotArea>
    </chartFormat>
    <chartFormat chart="1843" format="7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43" format="734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43" format="73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43" format="73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37"/>
          </reference>
        </references>
      </pivotArea>
    </chartFormat>
    <chartFormat chart="1843" format="73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39"/>
          </reference>
        </references>
      </pivotArea>
    </chartFormat>
    <chartFormat chart="1843" format="73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43" format="73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35"/>
          </reference>
        </references>
      </pivotArea>
    </chartFormat>
    <chartFormat chart="1843" format="74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36"/>
          </reference>
        </references>
      </pivotArea>
    </chartFormat>
    <chartFormat chart="12" format="72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44"/>
          </reference>
        </references>
      </pivotArea>
    </chartFormat>
    <chartFormat chart="12" format="72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40"/>
          </reference>
        </references>
      </pivotArea>
    </chartFormat>
    <chartFormat chart="12" format="727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42"/>
          </reference>
        </references>
      </pivotArea>
    </chartFormat>
    <chartFormat chart="1846" format="7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46" format="72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46" format="7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46" format="73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42"/>
          </reference>
        </references>
      </pivotArea>
    </chartFormat>
    <chartFormat chart="1846" format="73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44"/>
          </reference>
        </references>
      </pivotArea>
    </chartFormat>
    <chartFormat chart="1846" format="73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46" format="73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40"/>
          </reference>
        </references>
      </pivotArea>
    </chartFormat>
    <chartFormat chart="1847" format="7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47" format="73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47" format="73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47" format="73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42"/>
          </reference>
        </references>
      </pivotArea>
    </chartFormat>
    <chartFormat chart="1847" format="73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44"/>
          </reference>
        </references>
      </pivotArea>
    </chartFormat>
    <chartFormat chart="1847" format="74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47" format="74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40"/>
          </reference>
        </references>
      </pivotArea>
    </chartFormat>
    <chartFormat chart="1850" format="7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50" format="72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50" format="7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50" format="73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42"/>
          </reference>
        </references>
      </pivotArea>
    </chartFormat>
    <chartFormat chart="1850" format="73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44"/>
          </reference>
        </references>
      </pivotArea>
    </chartFormat>
    <chartFormat chart="1850" format="73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50" format="73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40"/>
          </reference>
        </references>
      </pivotArea>
    </chartFormat>
    <chartFormat chart="1851" format="7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51" format="73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51" format="73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51" format="73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42"/>
          </reference>
        </references>
      </pivotArea>
    </chartFormat>
    <chartFormat chart="1851" format="73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44"/>
          </reference>
        </references>
      </pivotArea>
    </chartFormat>
    <chartFormat chart="1851" format="74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51" format="74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40"/>
          </reference>
        </references>
      </pivotArea>
    </chartFormat>
    <chartFormat chart="12" format="72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47"/>
          </reference>
        </references>
      </pivotArea>
    </chartFormat>
    <chartFormat chart="12" format="72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48"/>
          </reference>
        </references>
      </pivotArea>
    </chartFormat>
    <chartFormat chart="12" format="73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45"/>
          </reference>
        </references>
      </pivotArea>
    </chartFormat>
    <chartFormat chart="12" format="73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46"/>
          </reference>
        </references>
      </pivotArea>
    </chartFormat>
    <chartFormat chart="1857" format="7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57" format="733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57" format="73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57" format="73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47"/>
          </reference>
        </references>
      </pivotArea>
    </chartFormat>
    <chartFormat chart="1857" format="73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48"/>
          </reference>
        </references>
      </pivotArea>
    </chartFormat>
    <chartFormat chart="1857" format="73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57" format="73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45"/>
          </reference>
        </references>
      </pivotArea>
    </chartFormat>
    <chartFormat chart="1857" format="73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46"/>
          </reference>
        </references>
      </pivotArea>
    </chartFormat>
    <chartFormat chart="1858" format="7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58" format="74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58" format="74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58" format="74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47"/>
          </reference>
        </references>
      </pivotArea>
    </chartFormat>
    <chartFormat chart="1858" format="74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48"/>
          </reference>
        </references>
      </pivotArea>
    </chartFormat>
    <chartFormat chart="1858" format="74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58" format="74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45"/>
          </reference>
        </references>
      </pivotArea>
    </chartFormat>
    <chartFormat chart="1858" format="74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46"/>
          </reference>
        </references>
      </pivotArea>
    </chartFormat>
    <chartFormat chart="1861" format="7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61" format="733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61" format="73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61" format="73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47"/>
          </reference>
        </references>
      </pivotArea>
    </chartFormat>
    <chartFormat chart="1861" format="73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48"/>
          </reference>
        </references>
      </pivotArea>
    </chartFormat>
    <chartFormat chart="1861" format="73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61" format="73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45"/>
          </reference>
        </references>
      </pivotArea>
    </chartFormat>
    <chartFormat chart="1861" format="73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46"/>
          </reference>
        </references>
      </pivotArea>
    </chartFormat>
    <chartFormat chart="1862" format="7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62" format="74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62" format="74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62" format="74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47"/>
          </reference>
        </references>
      </pivotArea>
    </chartFormat>
    <chartFormat chart="1862" format="74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48"/>
          </reference>
        </references>
      </pivotArea>
    </chartFormat>
    <chartFormat chart="1862" format="74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62" format="74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45"/>
          </reference>
        </references>
      </pivotArea>
    </chartFormat>
    <chartFormat chart="1862" format="74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46"/>
          </reference>
        </references>
      </pivotArea>
    </chartFormat>
    <chartFormat chart="1865" format="7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65" format="7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66" format="7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66" format="73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73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56"/>
          </reference>
        </references>
      </pivotArea>
    </chartFormat>
    <chartFormat chart="1869" format="7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69" format="73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69" format="73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56"/>
          </reference>
        </references>
      </pivotArea>
    </chartFormat>
    <chartFormat chart="1870" format="7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70" format="73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70" format="73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56"/>
          </reference>
        </references>
      </pivotArea>
    </chartFormat>
    <chartFormat chart="12" format="73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62"/>
          </reference>
        </references>
      </pivotArea>
    </chartFormat>
    <chartFormat chart="12" format="73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65"/>
          </reference>
        </references>
      </pivotArea>
    </chartFormat>
    <chartFormat chart="12" format="73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64"/>
          </reference>
        </references>
      </pivotArea>
    </chartFormat>
    <chartFormat chart="12" format="73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60"/>
          </reference>
        </references>
      </pivotArea>
    </chartFormat>
    <chartFormat chart="12" format="73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61"/>
          </reference>
        </references>
      </pivotArea>
    </chartFormat>
    <chartFormat chart="1873" format="7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73" format="73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73" format="740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62"/>
          </reference>
        </references>
      </pivotArea>
    </chartFormat>
    <chartFormat chart="1873" format="74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64"/>
          </reference>
        </references>
      </pivotArea>
    </chartFormat>
    <chartFormat chart="1873" format="74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65"/>
          </reference>
        </references>
      </pivotArea>
    </chartFormat>
    <chartFormat chart="1873" format="74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60"/>
          </reference>
        </references>
      </pivotArea>
    </chartFormat>
    <chartFormat chart="1873" format="74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61"/>
          </reference>
        </references>
      </pivotArea>
    </chartFormat>
    <chartFormat chart="1874" format="7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74" format="74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74" format="747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62"/>
          </reference>
        </references>
      </pivotArea>
    </chartFormat>
    <chartFormat chart="1874" format="74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64"/>
          </reference>
        </references>
      </pivotArea>
    </chartFormat>
    <chartFormat chart="1874" format="74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65"/>
          </reference>
        </references>
      </pivotArea>
    </chartFormat>
    <chartFormat chart="1874" format="75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60"/>
          </reference>
        </references>
      </pivotArea>
    </chartFormat>
    <chartFormat chart="1874" format="75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61"/>
          </reference>
        </references>
      </pivotArea>
    </chartFormat>
    <chartFormat chart="12" format="73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73"/>
          </reference>
        </references>
      </pivotArea>
    </chartFormat>
    <chartFormat chart="12" format="73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75"/>
          </reference>
        </references>
      </pivotArea>
    </chartFormat>
    <chartFormat chart="12" format="74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71"/>
          </reference>
        </references>
      </pivotArea>
    </chartFormat>
    <chartFormat chart="12" format="74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72"/>
          </reference>
        </references>
      </pivotArea>
    </chartFormat>
    <chartFormat chart="1877" format="7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77" format="743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77" format="7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77" format="74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73"/>
          </reference>
        </references>
      </pivotArea>
    </chartFormat>
    <chartFormat chart="1877" format="74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75"/>
          </reference>
        </references>
      </pivotArea>
    </chartFormat>
    <chartFormat chart="1877" format="74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77" format="74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71"/>
          </reference>
        </references>
      </pivotArea>
    </chartFormat>
    <chartFormat chart="1877" format="74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72"/>
          </reference>
        </references>
      </pivotArea>
    </chartFormat>
    <chartFormat chart="1878" format="7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78" format="75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78" format="7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78" format="75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73"/>
          </reference>
        </references>
      </pivotArea>
    </chartFormat>
    <chartFormat chart="1878" format="75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75"/>
          </reference>
        </references>
      </pivotArea>
    </chartFormat>
    <chartFormat chart="1878" format="75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78" format="75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71"/>
          </reference>
        </references>
      </pivotArea>
    </chartFormat>
    <chartFormat chart="1878" format="75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72"/>
          </reference>
        </references>
      </pivotArea>
    </chartFormat>
    <chartFormat chart="12" format="74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78"/>
          </reference>
        </references>
      </pivotArea>
    </chartFormat>
    <chartFormat chart="12" format="74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77"/>
          </reference>
        </references>
      </pivotArea>
    </chartFormat>
    <chartFormat chart="12" format="74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80"/>
          </reference>
        </references>
      </pivotArea>
    </chartFormat>
    <chartFormat chart="12" format="74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76"/>
          </reference>
        </references>
      </pivotArea>
    </chartFormat>
    <chartFormat chart="1883" format="74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83" format="747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83" format="74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83" format="74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78"/>
          </reference>
        </references>
      </pivotArea>
    </chartFormat>
    <chartFormat chart="1883" format="75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80"/>
          </reference>
        </references>
      </pivotArea>
    </chartFormat>
    <chartFormat chart="1883" format="75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83" format="75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76"/>
          </reference>
        </references>
      </pivotArea>
    </chartFormat>
    <chartFormat chart="1883" format="75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77"/>
          </reference>
        </references>
      </pivotArea>
    </chartFormat>
    <chartFormat chart="1884" format="7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84" format="75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84" format="7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84" format="757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78"/>
          </reference>
        </references>
      </pivotArea>
    </chartFormat>
    <chartFormat chart="1884" format="75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80"/>
          </reference>
        </references>
      </pivotArea>
    </chartFormat>
    <chartFormat chart="1884" format="75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84" format="76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76"/>
          </reference>
        </references>
      </pivotArea>
    </chartFormat>
    <chartFormat chart="1884" format="76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77"/>
          </reference>
        </references>
      </pivotArea>
    </chartFormat>
    <chartFormat chart="12" format="74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86"/>
          </reference>
        </references>
      </pivotArea>
    </chartFormat>
    <chartFormat chart="12" format="74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83"/>
          </reference>
        </references>
      </pivotArea>
    </chartFormat>
    <chartFormat chart="12" format="74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82"/>
          </reference>
        </references>
      </pivotArea>
    </chartFormat>
    <chartFormat chart="1887" format="7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87" format="750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87" format="7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87" format="75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86"/>
          </reference>
        </references>
      </pivotArea>
    </chartFormat>
    <chartFormat chart="1887" format="75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87" format="75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82"/>
          </reference>
        </references>
      </pivotArea>
    </chartFormat>
    <chartFormat chart="1887" format="75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83"/>
          </reference>
        </references>
      </pivotArea>
    </chartFormat>
    <chartFormat chart="1888" format="7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88" format="757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88" format="7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88" format="75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86"/>
          </reference>
        </references>
      </pivotArea>
    </chartFormat>
    <chartFormat chart="1888" format="76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88" format="76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82"/>
          </reference>
        </references>
      </pivotArea>
    </chartFormat>
    <chartFormat chart="1888" format="76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83"/>
          </reference>
        </references>
      </pivotArea>
    </chartFormat>
    <chartFormat chart="12" format="74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90"/>
          </reference>
        </references>
      </pivotArea>
    </chartFormat>
    <chartFormat chart="12" format="75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92"/>
          </reference>
        </references>
      </pivotArea>
    </chartFormat>
    <chartFormat chart="12" format="75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87"/>
          </reference>
        </references>
      </pivotArea>
    </chartFormat>
    <chartFormat chart="12" format="75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89"/>
          </reference>
        </references>
      </pivotArea>
    </chartFormat>
    <chartFormat chart="1891" format="7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91" format="754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91" format="7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91" format="75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90"/>
          </reference>
        </references>
      </pivotArea>
    </chartFormat>
    <chartFormat chart="1891" format="75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92"/>
          </reference>
        </references>
      </pivotArea>
    </chartFormat>
    <chartFormat chart="1891" format="75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91" format="75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87"/>
          </reference>
        </references>
      </pivotArea>
    </chartFormat>
    <chartFormat chart="1891" format="76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89"/>
          </reference>
        </references>
      </pivotArea>
    </chartFormat>
    <chartFormat chart="1892" format="76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92" format="76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92" format="7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92" format="76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90"/>
          </reference>
        </references>
      </pivotArea>
    </chartFormat>
    <chartFormat chart="1892" format="76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92"/>
          </reference>
        </references>
      </pivotArea>
    </chartFormat>
    <chartFormat chart="1892" format="76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92" format="76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87"/>
          </reference>
        </references>
      </pivotArea>
    </chartFormat>
    <chartFormat chart="1892" format="76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89"/>
          </reference>
        </references>
      </pivotArea>
    </chartFormat>
    <chartFormat chart="12" format="75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95"/>
          </reference>
        </references>
      </pivotArea>
    </chartFormat>
    <chartFormat chart="12" format="75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97"/>
          </reference>
        </references>
      </pivotArea>
    </chartFormat>
    <chartFormat chart="12" format="75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94"/>
          </reference>
        </references>
      </pivotArea>
    </chartFormat>
    <chartFormat chart="12" format="75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93"/>
          </reference>
        </references>
      </pivotArea>
    </chartFormat>
    <chartFormat chart="1895" format="7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95" format="75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95" format="75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95" format="760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95"/>
          </reference>
        </references>
      </pivotArea>
    </chartFormat>
    <chartFormat chart="1895" format="76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97"/>
          </reference>
        </references>
      </pivotArea>
    </chartFormat>
    <chartFormat chart="1895" format="76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95" format="76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93"/>
          </reference>
        </references>
      </pivotArea>
    </chartFormat>
    <chartFormat chart="1895" format="76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94"/>
          </reference>
        </references>
      </pivotArea>
    </chartFormat>
    <chartFormat chart="1896" format="7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96" format="76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96" format="76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96" format="76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895"/>
          </reference>
        </references>
      </pivotArea>
    </chartFormat>
    <chartFormat chart="1896" format="76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897"/>
          </reference>
        </references>
      </pivotArea>
    </chartFormat>
    <chartFormat chart="1896" format="77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96" format="77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93"/>
          </reference>
        </references>
      </pivotArea>
    </chartFormat>
    <chartFormat chart="1896" format="77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94"/>
          </reference>
        </references>
      </pivotArea>
    </chartFormat>
    <chartFormat chart="12" format="757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01"/>
          </reference>
        </references>
      </pivotArea>
    </chartFormat>
    <chartFormat chart="12" format="75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03"/>
          </reference>
        </references>
      </pivotArea>
    </chartFormat>
    <chartFormat chart="12" format="75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98"/>
          </reference>
        </references>
      </pivotArea>
    </chartFormat>
    <chartFormat chart="12" format="76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00"/>
          </reference>
        </references>
      </pivotArea>
    </chartFormat>
    <chartFormat chart="1899" format="76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99" format="76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99" format="7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99" format="76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01"/>
          </reference>
        </references>
      </pivotArea>
    </chartFormat>
    <chartFormat chart="1899" format="76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03"/>
          </reference>
        </references>
      </pivotArea>
    </chartFormat>
    <chartFormat chart="1899" format="76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899" format="76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98"/>
          </reference>
        </references>
      </pivotArea>
    </chartFormat>
    <chartFormat chart="1899" format="76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00"/>
          </reference>
        </references>
      </pivotArea>
    </chartFormat>
    <chartFormat chart="1900" format="76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00" format="770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00" format="77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00" format="77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01"/>
          </reference>
        </references>
      </pivotArea>
    </chartFormat>
    <chartFormat chart="1900" format="77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03"/>
          </reference>
        </references>
      </pivotArea>
    </chartFormat>
    <chartFormat chart="1900" format="77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00" format="77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98"/>
          </reference>
        </references>
      </pivotArea>
    </chartFormat>
    <chartFormat chart="1900" format="77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00"/>
          </reference>
        </references>
      </pivotArea>
    </chartFormat>
    <chartFormat chart="1903" format="76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03" format="76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03" format="7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03" format="76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04" format="76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04" format="76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04" format="7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04" format="76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05" format="7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05" format="76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05" format="76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05" format="76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2" format="76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12"/>
          </reference>
        </references>
      </pivotArea>
    </chartFormat>
    <chartFormat chart="12" format="76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14"/>
          </reference>
        </references>
      </pivotArea>
    </chartFormat>
    <chartFormat chart="12" format="76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11"/>
          </reference>
        </references>
      </pivotArea>
    </chartFormat>
    <chartFormat chart="12" format="76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09"/>
          </reference>
        </references>
      </pivotArea>
    </chartFormat>
    <chartFormat chart="1908" format="7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08" format="76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08" format="76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08" format="76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12"/>
          </reference>
        </references>
      </pivotArea>
    </chartFormat>
    <chartFormat chart="1908" format="76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14"/>
          </reference>
        </references>
      </pivotArea>
    </chartFormat>
    <chartFormat chart="1908" format="77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08" format="77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09"/>
          </reference>
        </references>
      </pivotArea>
    </chartFormat>
    <chartFormat chart="1908" format="77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11"/>
          </reference>
        </references>
      </pivotArea>
    </chartFormat>
    <chartFormat chart="1909" format="7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09" format="774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09" format="77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09" format="77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12"/>
          </reference>
        </references>
      </pivotArea>
    </chartFormat>
    <chartFormat chart="1909" format="77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14"/>
          </reference>
        </references>
      </pivotArea>
    </chartFormat>
    <chartFormat chart="1909" format="77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09" format="77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09"/>
          </reference>
        </references>
      </pivotArea>
    </chartFormat>
    <chartFormat chart="1909" format="78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11"/>
          </reference>
        </references>
      </pivotArea>
    </chartFormat>
    <chartFormat chart="12" format="76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18"/>
          </reference>
        </references>
      </pivotArea>
    </chartFormat>
    <chartFormat chart="12" format="76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20"/>
          </reference>
        </references>
      </pivotArea>
    </chartFormat>
    <chartFormat chart="12" format="76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15"/>
          </reference>
        </references>
      </pivotArea>
    </chartFormat>
    <chartFormat chart="1912" format="76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12" format="76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12" format="77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12" format="77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18"/>
          </reference>
        </references>
      </pivotArea>
    </chartFormat>
    <chartFormat chart="1912" format="77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20"/>
          </reference>
        </references>
      </pivotArea>
    </chartFormat>
    <chartFormat chart="1912" format="77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12" format="77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15"/>
          </reference>
        </references>
      </pivotArea>
    </chartFormat>
    <chartFormat chart="1913" format="7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13" format="77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13" format="77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13" format="77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18"/>
          </reference>
        </references>
      </pivotArea>
    </chartFormat>
    <chartFormat chart="1913" format="77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20"/>
          </reference>
        </references>
      </pivotArea>
    </chartFormat>
    <chartFormat chart="1913" format="78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13" format="78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15"/>
          </reference>
        </references>
      </pivotArea>
    </chartFormat>
    <chartFormat chart="12" format="76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23"/>
          </reference>
        </references>
      </pivotArea>
    </chartFormat>
    <chartFormat chart="12" format="76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25"/>
          </reference>
        </references>
      </pivotArea>
    </chartFormat>
    <chartFormat chart="12" format="77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22"/>
          </reference>
        </references>
      </pivotArea>
    </chartFormat>
    <chartFormat chart="12" format="77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21"/>
          </reference>
        </references>
      </pivotArea>
    </chartFormat>
    <chartFormat chart="1916" format="7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16" format="773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16" format="77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16" format="77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23"/>
          </reference>
        </references>
      </pivotArea>
    </chartFormat>
    <chartFormat chart="1916" format="77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25"/>
          </reference>
        </references>
      </pivotArea>
    </chartFormat>
    <chartFormat chart="1916" format="77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16" format="77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21"/>
          </reference>
        </references>
      </pivotArea>
    </chartFormat>
    <chartFormat chart="1916" format="77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22"/>
          </reference>
        </references>
      </pivotArea>
    </chartFormat>
    <chartFormat chart="1917" format="7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17" format="78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17" format="78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17" format="78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23"/>
          </reference>
        </references>
      </pivotArea>
    </chartFormat>
    <chartFormat chart="1917" format="78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25"/>
          </reference>
        </references>
      </pivotArea>
    </chartFormat>
    <chartFormat chart="1917" format="78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17" format="78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21"/>
          </reference>
        </references>
      </pivotArea>
    </chartFormat>
    <chartFormat chart="1917" format="78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22"/>
          </reference>
        </references>
      </pivotArea>
    </chartFormat>
    <chartFormat chart="12" format="77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28"/>
          </reference>
        </references>
      </pivotArea>
    </chartFormat>
    <chartFormat chart="12" format="77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30"/>
          </reference>
        </references>
      </pivotArea>
    </chartFormat>
    <chartFormat chart="1920" format="7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20" format="77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20" format="77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20" format="777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28"/>
          </reference>
        </references>
      </pivotArea>
    </chartFormat>
    <chartFormat chart="1920" format="77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30"/>
          </reference>
        </references>
      </pivotArea>
    </chartFormat>
    <chartFormat chart="1920" format="77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21" format="7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21" format="78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21" format="78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21" format="78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28"/>
          </reference>
        </references>
      </pivotArea>
    </chartFormat>
    <chartFormat chart="1921" format="78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30"/>
          </reference>
        </references>
      </pivotArea>
    </chartFormat>
    <chartFormat chart="1921" format="78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24" format="7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24" format="77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24" format="77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24" format="77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25" format="7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25" format="77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25" format="78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25" format="78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28" format="7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28" format="77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28" format="77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28" format="77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29" format="7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29" format="77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29" format="78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29" format="78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32" format="7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32" format="77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32" format="77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32" format="77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33" format="7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33" format="77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33" format="78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33" format="78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37" format="7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37" format="77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37" format="77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37" format="77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38" format="7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38" format="77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38" format="78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38" format="78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41" format="7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41" format="77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41" format="77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41" format="77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42" format="7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42" format="77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42" format="78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42" format="78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45" format="7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45" format="77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45" format="77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45" format="77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46" format="7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46" format="77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46" format="78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46" format="78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49" format="7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49" format="77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49" format="77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49" format="77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50" format="7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50" format="77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50" format="78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50" format="78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53" format="7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53" format="77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53" format="77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53" format="77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54" format="7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54" format="77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54" format="78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54" format="78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57" format="7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57" format="77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57" format="77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57" format="77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58" format="7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58" format="77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58" format="78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58" format="78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64" format="7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64" format="77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64" format="77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64" format="77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65" format="7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65" format="77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65" format="78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65" format="78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2" format="77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70"/>
          </reference>
        </references>
      </pivotArea>
    </chartFormat>
    <chartFormat chart="1978" format="7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78" format="77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78" format="77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78" format="77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79" format="77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79" format="780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79" format="78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79" format="78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2" format="77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78"/>
          </reference>
        </references>
      </pivotArea>
    </chartFormat>
    <chartFormat chart="12" format="77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79"/>
          </reference>
        </references>
      </pivotArea>
    </chartFormat>
    <chartFormat chart="1982" format="7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82" format="77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82" format="77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82" format="780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78"/>
          </reference>
        </references>
      </pivotArea>
    </chartFormat>
    <chartFormat chart="1982" format="78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79"/>
          </reference>
        </references>
      </pivotArea>
    </chartFormat>
    <chartFormat chart="1982" format="78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83" format="78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83" format="784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83" format="78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83" format="78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78"/>
          </reference>
        </references>
      </pivotArea>
    </chartFormat>
    <chartFormat chart="1983" format="78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79"/>
          </reference>
        </references>
      </pivotArea>
    </chartFormat>
    <chartFormat chart="1983" format="78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2" format="77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83"/>
          </reference>
        </references>
      </pivotArea>
    </chartFormat>
    <chartFormat chart="12" format="77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82"/>
          </reference>
        </references>
      </pivotArea>
    </chartFormat>
    <chartFormat chart="12" format="77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81"/>
          </reference>
        </references>
      </pivotArea>
    </chartFormat>
    <chartFormat chart="1986" format="7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86" format="78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86" format="78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86" format="78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82"/>
          </reference>
        </references>
      </pivotArea>
    </chartFormat>
    <chartFormat chart="1986" format="78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83"/>
          </reference>
        </references>
      </pivotArea>
    </chartFormat>
    <chartFormat chart="1986" format="78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86" format="78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81"/>
          </reference>
        </references>
      </pivotArea>
    </chartFormat>
    <chartFormat chart="1987" format="7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87" format="78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87" format="78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87" format="783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82"/>
          </reference>
        </references>
      </pivotArea>
    </chartFormat>
    <chartFormat chart="1987" format="78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83"/>
          </reference>
        </references>
      </pivotArea>
    </chartFormat>
    <chartFormat chart="1987" format="78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87" format="78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81"/>
          </reference>
        </references>
      </pivotArea>
    </chartFormat>
    <chartFormat chart="1988" format="78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88" format="78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88" format="78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88" format="790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82"/>
          </reference>
        </references>
      </pivotArea>
    </chartFormat>
    <chartFormat chart="1988" format="79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83"/>
          </reference>
        </references>
      </pivotArea>
    </chartFormat>
    <chartFormat chart="1988" format="79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88" format="79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81"/>
          </reference>
        </references>
      </pivotArea>
    </chartFormat>
    <chartFormat chart="12" format="78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87"/>
          </reference>
        </references>
      </pivotArea>
    </chartFormat>
    <chartFormat chart="1991" format="78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91" format="78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91" format="78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91" format="78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87"/>
          </reference>
        </references>
      </pivotArea>
    </chartFormat>
    <chartFormat chart="1991" format="78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92" format="78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92" format="787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92" format="78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92" format="78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87"/>
          </reference>
        </references>
      </pivotArea>
    </chartFormat>
    <chartFormat chart="1992" format="79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95" format="78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95" format="78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95" format="78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95" format="78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96" format="78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96" format="78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96" format="78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96" format="78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2" format="78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94"/>
          </reference>
        </references>
      </pivotArea>
    </chartFormat>
    <chartFormat chart="12" format="78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93"/>
          </reference>
        </references>
      </pivotArea>
    </chartFormat>
    <chartFormat chart="12" format="78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95"/>
          </reference>
        </references>
      </pivotArea>
    </chartFormat>
    <chartFormat chart="12" format="78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92"/>
          </reference>
        </references>
      </pivotArea>
    </chartFormat>
    <chartFormat chart="1999" format="78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99" format="78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99" format="78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99" format="78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94"/>
          </reference>
        </references>
      </pivotArea>
    </chartFormat>
    <chartFormat chart="1999" format="78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95"/>
          </reference>
        </references>
      </pivotArea>
    </chartFormat>
    <chartFormat chart="1999" format="79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999" format="79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92"/>
          </reference>
        </references>
      </pivotArea>
    </chartFormat>
    <chartFormat chart="1999" format="79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93"/>
          </reference>
        </references>
      </pivotArea>
    </chartFormat>
    <chartFormat chart="2000" format="79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00" format="794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00" format="79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00" format="796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94"/>
          </reference>
        </references>
      </pivotArea>
    </chartFormat>
    <chartFormat chart="2000" format="79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95"/>
          </reference>
        </references>
      </pivotArea>
    </chartFormat>
    <chartFormat chart="2000" format="79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00" format="79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92"/>
          </reference>
        </references>
      </pivotArea>
    </chartFormat>
    <chartFormat chart="2000" format="80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93"/>
          </reference>
        </references>
      </pivotArea>
    </chartFormat>
    <chartFormat chart="12" format="78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98"/>
          </reference>
        </references>
      </pivotArea>
    </chartFormat>
    <chartFormat chart="12" format="78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99"/>
          </reference>
        </references>
      </pivotArea>
    </chartFormat>
    <chartFormat chart="12" format="78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96"/>
          </reference>
        </references>
      </pivotArea>
    </chartFormat>
    <chartFormat chart="12" format="78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97"/>
          </reference>
        </references>
      </pivotArea>
    </chartFormat>
    <chartFormat chart="2003" format="78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03" format="790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03" format="79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03" format="792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98"/>
          </reference>
        </references>
      </pivotArea>
    </chartFormat>
    <chartFormat chart="2003" format="79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99"/>
          </reference>
        </references>
      </pivotArea>
    </chartFormat>
    <chartFormat chart="2003" format="79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03" format="79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96"/>
          </reference>
        </references>
      </pivotArea>
    </chartFormat>
    <chartFormat chart="2003" format="79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97"/>
          </reference>
        </references>
      </pivotArea>
    </chartFormat>
    <chartFormat chart="2004" format="7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04" format="79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04" format="7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04" format="800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998"/>
          </reference>
        </references>
      </pivotArea>
    </chartFormat>
    <chartFormat chart="2004" format="80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999"/>
          </reference>
        </references>
      </pivotArea>
    </chartFormat>
    <chartFormat chart="2004" format="80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04" format="80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96"/>
          </reference>
        </references>
      </pivotArea>
    </chartFormat>
    <chartFormat chart="2004" format="80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97"/>
          </reference>
        </references>
      </pivotArea>
    </chartFormat>
    <chartFormat chart="12" format="789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1006"/>
          </reference>
        </references>
      </pivotArea>
    </chartFormat>
    <chartFormat chart="12" format="79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1007"/>
          </reference>
        </references>
      </pivotArea>
    </chartFormat>
    <chartFormat chart="2007" format="79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07" format="79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07" format="7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07" format="79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1006"/>
          </reference>
        </references>
      </pivotArea>
    </chartFormat>
    <chartFormat chart="2007" format="79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1007"/>
          </reference>
        </references>
      </pivotArea>
    </chartFormat>
    <chartFormat chart="2007" format="79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08" format="7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08" format="79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08" format="7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08" format="800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1006"/>
          </reference>
        </references>
      </pivotArea>
    </chartFormat>
    <chartFormat chart="2008" format="80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1007"/>
          </reference>
        </references>
      </pivotArea>
    </chartFormat>
    <chartFormat chart="2008" format="80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11" format="79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11" format="79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11" format="7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11" format="79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12" format="79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12" format="79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12" format="79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12" format="79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15" format="79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15" format="79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15" format="7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15" format="79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16" format="79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16" format="79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16" format="79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16" format="79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23" format="79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23" format="79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23" format="7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23" format="79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24" format="79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24" format="79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24" format="79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24" format="79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27" format="79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27" format="79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27" format="7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27" format="79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28" format="79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28" format="79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28" format="79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28" format="79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33" format="79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33" format="79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33" format="7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33" format="79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34" format="79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34" format="79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34" format="79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34" format="79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37" format="79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37" format="79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37" format="7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37" format="79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38" format="79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38" format="79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38" format="79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38" format="79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2" format="79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1039"/>
          </reference>
        </references>
      </pivotArea>
    </chartFormat>
    <chartFormat chart="12" format="79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1040"/>
          </reference>
        </references>
      </pivotArea>
    </chartFormat>
    <chartFormat chart="12" format="79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036"/>
          </reference>
        </references>
      </pivotArea>
    </chartFormat>
    <chartFormat chart="2041" format="7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41" format="79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41" format="79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41" format="797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1039"/>
          </reference>
        </references>
      </pivotArea>
    </chartFormat>
    <chartFormat chart="2041" format="79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1040"/>
          </reference>
        </references>
      </pivotArea>
    </chartFormat>
    <chartFormat chart="2041" format="79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41" format="80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036"/>
          </reference>
        </references>
      </pivotArea>
    </chartFormat>
    <chartFormat chart="2042" format="80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42" format="80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42" format="8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42" format="80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1039"/>
          </reference>
        </references>
      </pivotArea>
    </chartFormat>
    <chartFormat chart="2042" format="80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1040"/>
          </reference>
        </references>
      </pivotArea>
    </chartFormat>
    <chartFormat chart="2042" format="80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42" format="80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036"/>
          </reference>
        </references>
      </pivotArea>
    </chartFormat>
    <chartFormat chart="2045" format="7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45" format="79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45" format="79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45" format="79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46" format="7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46" format="79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46" format="80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46" format="80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49" format="7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49" format="79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49" format="79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49" format="79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50" format="7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50" format="79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50" format="80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50" format="80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53" format="7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53" format="79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53" format="79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53" format="79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54" format="7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54" format="79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54" format="80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54" format="80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57" format="7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57" format="79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57" format="79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57" format="79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58" format="7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58" format="79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58" format="80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58" format="80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61" format="7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61" format="79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61" format="79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61" format="79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62" format="7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62" format="79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62" format="80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62" format="80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65" format="7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65" format="79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65" format="79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65" format="79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66" format="7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66" format="79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66" format="80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66" format="80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69" format="7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69" format="79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69" format="79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69" format="79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70" format="7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70" format="79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70" format="80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70" format="80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74" format="7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74" format="79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74" format="79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74" format="79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75" format="7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75" format="79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75" format="80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75" format="80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78" format="7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78" format="79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78" format="79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78" format="79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79" format="7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79" format="79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79" format="80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79" format="80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82" format="7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82" format="79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82" format="79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82" format="79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83" format="7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83" format="79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83" format="80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83" format="80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86" format="7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86" format="79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86" format="79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86" format="79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87" format="7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87" format="79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87" format="80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87" format="80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2" format="79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1093"/>
          </reference>
        </references>
      </pivotArea>
    </chartFormat>
    <chartFormat chart="12" format="79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1094"/>
          </reference>
        </references>
      </pivotArea>
    </chartFormat>
    <chartFormat chart="12" format="79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090"/>
          </reference>
        </references>
      </pivotArea>
    </chartFormat>
    <chartFormat chart="2090" format="7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90" format="79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90" format="7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90" format="80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91" format="80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91" format="80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91" format="8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91" format="80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94" format="7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94" format="79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94" format="7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94" format="80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95" format="80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95" format="80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95" format="8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95" format="80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98" format="7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98" format="79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98" format="7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98" format="80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99" format="80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99" format="80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099" format="8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99" format="80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02" format="7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02" format="79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02" format="7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02" format="80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03" format="80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03" format="80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03" format="8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03" format="80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06" format="7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06" format="79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06" format="7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06" format="80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07" format="80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07" format="80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07" format="8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07" format="80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11" format="7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11" format="79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11" format="7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11" format="80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12" format="80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12" format="80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12" format="8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12" format="80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15" format="7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15" format="79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15" format="7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15" format="80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16" format="80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16" format="80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16" format="8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16" format="80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19" format="7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19" format="79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19" format="7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19" format="80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20" format="80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20" format="80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20" format="8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20" format="80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23" format="7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23" format="79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23" format="7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23" format="80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24" format="80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24" format="80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24" format="8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24" format="80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27" format="7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27" format="79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27" format="7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27" format="80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28" format="80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28" format="80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28" format="8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28" format="80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31" format="7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31" format="79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31" format="7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31" format="80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32" format="80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32" format="80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32" format="8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32" format="80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39" format="7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39" format="79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39" format="7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39" format="80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40" format="80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40" format="80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40" format="8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40" format="80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44" format="80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44" format="80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44" format="8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44" format="80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57" format="7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57" format="79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57" format="7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57" format="80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58" format="80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58" format="80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58" format="8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58" format="80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89" format="7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89" format="79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89" format="7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89" format="80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90" format="80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90" format="80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190" format="8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90" format="80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266" format="80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66" format="810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266" format="8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66" format="81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12" format="797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362"/>
          </reference>
        </references>
      </pivotArea>
    </chartFormat>
    <chartFormat chart="12" format="79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362"/>
          </reference>
        </references>
      </pivotArea>
    </chartFormat>
    <chartFormat chart="2266" format="813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362"/>
          </reference>
        </references>
      </pivotArea>
    </chartFormat>
    <chartFormat chart="2266" format="81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362"/>
          </reference>
        </references>
      </pivotArea>
    </chartFormat>
    <chartFormat chart="2266" format="81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686"/>
          </reference>
        </references>
      </pivotArea>
    </chartFormat>
    <chartFormat chart="2266" format="81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686"/>
          </reference>
        </references>
      </pivotArea>
    </chartFormat>
    <chartFormat chart="12" format="79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686"/>
          </reference>
        </references>
      </pivotArea>
    </chartFormat>
    <chartFormat chart="12" format="80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686"/>
          </reference>
        </references>
      </pivotArea>
    </chartFormat>
    <chartFormat chart="2645" format="80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45" format="80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645" format="80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45" format="80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646" format="80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46" format="810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646" format="8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46" format="81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649" format="80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49" format="80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649" format="80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49" format="80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650" format="80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50" format="810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  <chartFormat chart="2650" format="8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50" format="81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2651">
  <location ref="A3:B10" firstHeaderRow="1" firstDataRow="1" firstDataCol="1"/>
  <pivotFields count="7">
    <pivotField axis="axisRow" showAll="0" sortType="ascending" defaultSubtotal="0">
      <items count="10">
        <item m="1" x="8"/>
        <item x="3"/>
        <item m="1" x="9"/>
        <item m="1" x="7"/>
        <item h="1" x="4"/>
        <item x="5"/>
        <item x="6"/>
        <item x="0"/>
        <item x="1"/>
        <item x="2"/>
      </items>
    </pivotField>
    <pivotField showAll="0" defaultSubtotal="0"/>
    <pivotField numFmtId="164" showAll="0" defaultSubtotal="0"/>
    <pivotField numFmtId="164" showAll="0" defaultSubtotal="0"/>
    <pivotField dataField="1" numFmtId="164" showAll="0" defaultSubtotal="0"/>
    <pivotField showAll="0" defaultSubtotal="0"/>
    <pivotField numFmtId="164" showAll="0" defaultSubtotal="0"/>
  </pivotFields>
  <rowFields count="1">
    <field x="0"/>
  </rowFields>
  <rowItems count="7">
    <i>
      <x v="1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Unoccupied Space" fld="4" baseField="0" baseItem="0"/>
  </dataFields>
  <chartFormats count="301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9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5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95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9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6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96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4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5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4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6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54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1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41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41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541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54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2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42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42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542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7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75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75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75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75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7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76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76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76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76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9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92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92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92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92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44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46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46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446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446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44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47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47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447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447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463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63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63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463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463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48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8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8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89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9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93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96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97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0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03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0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09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17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1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23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24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43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44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49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50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55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56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61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62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66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67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7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73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76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77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8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8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8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8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8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89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9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93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0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0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0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09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1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13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16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17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2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2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2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2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3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3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36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37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4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43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46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47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5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5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5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5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5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59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6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63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7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7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76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77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8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8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8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8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9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0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03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1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1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1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1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1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19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2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23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26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27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4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4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45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46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49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50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53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54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57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5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61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62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65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66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1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2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5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6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9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80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83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84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87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8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1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2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5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6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9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0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3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4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7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11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12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15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16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19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20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23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24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2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29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3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3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3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39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4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43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47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4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5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5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6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63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66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67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7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7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7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7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7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79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8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83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86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87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9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9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9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9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9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99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0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03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0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0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1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1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1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1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1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19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2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23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26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27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3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3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3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3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3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39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4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43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46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47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5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5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5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5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5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59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6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63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66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67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7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7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7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7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7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79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8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83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86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87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9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9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9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9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9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99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00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03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04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07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0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11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12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15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16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23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24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30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43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44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76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77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53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32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33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36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37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72" rowHeaderCaption=" ">
  <location ref="A3:B9" firstHeaderRow="1" firstDataRow="1" firstDataCol="1"/>
  <pivotFields count="7">
    <pivotField axis="axisRow" showAll="0" sortType="ascending" defaultSubtotal="0">
      <items count="6">
        <item m="1" x="5"/>
        <item x="0"/>
        <item x="1"/>
        <item x="2"/>
        <item x="3"/>
        <item x="4"/>
      </items>
    </pivotField>
    <pivotField showAll="0" defaultSubtotal="0"/>
    <pivotField numFmtId="164" showAll="0" defaultSubtotal="0"/>
    <pivotField numFmtId="164" showAll="0" defaultSubtotal="0"/>
    <pivotField showAll="0" defaultSubtotal="0"/>
    <pivotField numFmtId="164" showAll="0" defaultSubtotal="0"/>
    <pivotField dataField="1" numFmtId="164" showAll="0" defaultSubtotal="0"/>
  </pivotFields>
  <rowFields count="1"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Actual Sellable" fld="6" baseField="0" baseItem="0"/>
  </dataFields>
  <chartFormats count="2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1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1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4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14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1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9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19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19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19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62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62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62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62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62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63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63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63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63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63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13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 chartFormat="3568">
  <location ref="A3:D6" firstHeaderRow="0" firstDataRow="1" firstDataCol="2"/>
  <pivotFields count="10">
    <pivotField axis="axisRow" compact="0" outline="0" showAll="0" sortType="descending" defaultSubtotal="0">
      <items count="12">
        <item h="1" x="2"/>
        <item h="1" x="1"/>
        <item h="1" x="0"/>
        <item n="Main DC" x="7"/>
        <item h="1" x="6"/>
        <item h="1" x="5"/>
        <item h="1" x="4"/>
        <item h="1" m="1" x="10"/>
        <item h="1" m="1" x="11"/>
        <item h="1" x="3"/>
        <item h="1" m="1" x="9"/>
        <item x="8"/>
      </items>
    </pivotField>
    <pivotField dataField="1" compact="0" outline="0" showAll="0" defaultSubtotal="0"/>
    <pivotField axis="axisRow" compact="0" numFmtId="9" outline="0" showAll="0" defaultSubtotal="0">
      <items count="2632">
        <item m="1" x="2507"/>
        <item m="1" x="2599"/>
        <item m="1" x="2571"/>
        <item m="1" x="1397"/>
        <item m="1" x="745"/>
        <item m="1" x="2364"/>
        <item m="1" x="1623"/>
        <item m="1" x="987"/>
        <item m="1" x="11"/>
        <item m="1" x="831"/>
        <item m="1" x="684"/>
        <item m="1" x="313"/>
        <item m="1" x="716"/>
        <item m="1" x="1219"/>
        <item m="1" x="565"/>
        <item m="1" x="101"/>
        <item m="1" x="2173"/>
        <item m="1" x="1062"/>
        <item m="1" x="174"/>
        <item m="1" x="2548"/>
        <item m="1" x="1585"/>
        <item m="1" x="1091"/>
        <item m="1" x="1064"/>
        <item m="1" x="2613"/>
        <item m="1" x="1783"/>
        <item m="1" x="156"/>
        <item m="1" x="1252"/>
        <item m="1" x="868"/>
        <item m="1" x="1056"/>
        <item m="1" x="1204"/>
        <item m="1" x="1985"/>
        <item m="1" x="559"/>
        <item m="1" x="398"/>
        <item m="1" x="1140"/>
        <item m="1" x="2100"/>
        <item m="1" x="1434"/>
        <item m="1" x="812"/>
        <item m="1" x="1692"/>
        <item m="1" x="2447"/>
        <item m="1" x="798"/>
        <item m="1" x="2254"/>
        <item m="1" x="2286"/>
        <item m="1" x="2282"/>
        <item m="1" x="1073"/>
        <item m="1" x="2309"/>
        <item m="1" x="1959"/>
        <item m="1" x="1945"/>
        <item m="1" x="2517"/>
        <item m="1" x="821"/>
        <item m="1" x="2107"/>
        <item m="1" x="1489"/>
        <item m="1" x="1965"/>
        <item m="1" x="806"/>
        <item m="1" x="678"/>
        <item m="1" x="326"/>
        <item m="1" x="54"/>
        <item m="1" x="2344"/>
        <item m="1" x="2175"/>
        <item m="1" x="1830"/>
        <item m="1" x="80"/>
        <item m="1" x="1089"/>
        <item m="1" x="1058"/>
        <item m="1" x="1377"/>
        <item m="1" x="603"/>
        <item m="1" x="123"/>
        <item m="1" x="1771"/>
        <item m="1" x="511"/>
        <item m="1" x="1261"/>
        <item m="1" x="874"/>
        <item m="1" x="548"/>
        <item m="1" x="2467"/>
        <item m="1" x="65"/>
        <item m="1" x="1291"/>
        <item m="1" x="1901"/>
        <item m="1" x="708"/>
        <item m="1" x="1910"/>
        <item m="1" x="1976"/>
        <item m="1" x="2170"/>
        <item x="6"/>
        <item m="1" x="198"/>
        <item m="1" x="1277"/>
        <item m="1" x="1968"/>
        <item m="1" x="363"/>
        <item m="1" x="1018"/>
        <item m="1" x="2335"/>
        <item m="1" x="470"/>
        <item m="1" x="955"/>
        <item m="1" x="682"/>
        <item m="1" x="1215"/>
        <item m="1" x="1994"/>
        <item m="1" x="260"/>
        <item m="1" x="2395"/>
        <item m="1" x="2150"/>
        <item m="1" x="1325"/>
        <item m="1" x="1542"/>
        <item m="1" x="1156"/>
        <item m="1" x="1302"/>
        <item m="1" x="1385"/>
        <item m="1" x="1500"/>
        <item m="1" x="332"/>
        <item m="1" x="619"/>
        <item m="1" x="1013"/>
        <item m="1" x="692"/>
        <item m="1" x="81"/>
        <item m="1" x="1880"/>
        <item m="1" x="2533"/>
        <item m="1" x="286"/>
        <item m="1" x="1618"/>
        <item m="1" x="2567"/>
        <item m="1" x="917"/>
        <item m="1" x="1782"/>
        <item m="1" x="550"/>
        <item m="1" x="1220"/>
        <item m="1" x="1017"/>
        <item m="1" x="2459"/>
        <item m="1" x="538"/>
        <item m="1" x="844"/>
        <item m="1" x="625"/>
        <item m="1" x="1486"/>
        <item m="1" x="704"/>
        <item m="1" x="1924"/>
        <item m="1" x="340"/>
        <item m="1" x="1824"/>
        <item m="1" x="1786"/>
        <item m="1" x="2112"/>
        <item m="1" x="1438"/>
        <item m="1" x="1293"/>
        <item m="1" x="1927"/>
        <item m="1" x="2506"/>
        <item m="1" x="136"/>
        <item m="1" x="69"/>
        <item m="1" x="940"/>
        <item m="1" x="26"/>
        <item m="1" x="1406"/>
        <item m="1" x="1462"/>
        <item m="1" x="1232"/>
        <item m="1" x="1039"/>
        <item m="1" x="2065"/>
        <item m="1" x="2201"/>
        <item m="1" x="1025"/>
        <item m="1" x="1781"/>
        <item m="1" x="1223"/>
        <item m="1" x="426"/>
        <item m="1" x="1392"/>
        <item m="1" x="1195"/>
        <item m="1" x="671"/>
        <item m="1" x="306"/>
        <item m="1" x="1731"/>
        <item m="1" x="115"/>
        <item m="1" x="933"/>
        <item m="1" x="2203"/>
        <item m="1" x="412"/>
        <item m="1" x="2195"/>
        <item m="1" x="1380"/>
        <item m="1" x="1760"/>
        <item m="1" x="111"/>
        <item m="1" x="1805"/>
        <item m="1" x="1194"/>
        <item m="1" x="1090"/>
        <item m="1" x="141"/>
        <item m="1" x="321"/>
        <item m="1" x="1547"/>
        <item m="1" x="1686"/>
        <item m="1" x="374"/>
        <item m="1" x="583"/>
        <item m="1" x="1360"/>
        <item m="1" x="56"/>
        <item m="1" x="540"/>
        <item m="1" x="1865"/>
        <item m="1" x="1573"/>
        <item m="1" x="2243"/>
        <item m="1" x="1292"/>
        <item m="1" x="375"/>
        <item m="1" x="1250"/>
        <item m="1" x="1643"/>
        <item m="1" x="1757"/>
        <item m="1" x="885"/>
        <item m="1" x="1329"/>
        <item m="1" x="1608"/>
        <item m="1" x="2247"/>
        <item m="1" x="410"/>
        <item m="1" x="666"/>
        <item m="1" x="913"/>
        <item m="1" x="2484"/>
        <item m="1" x="1680"/>
        <item m="1" x="1107"/>
        <item m="1" x="2084"/>
        <item x="4"/>
        <item m="1" x="465"/>
        <item m="1" x="1132"/>
        <item m="1" x="658"/>
        <item m="1" x="1152"/>
        <item m="1" x="43"/>
        <item m="1" x="2562"/>
        <item m="1" x="1259"/>
        <item m="1" x="545"/>
        <item m="1" x="1923"/>
        <item m="1" x="2425"/>
        <item m="1" x="2098"/>
        <item m="1" x="742"/>
        <item m="1" x="1369"/>
        <item m="1" x="1700"/>
        <item m="1" x="1506"/>
        <item m="1" x="425"/>
        <item m="1" x="1796"/>
        <item m="1" x="1187"/>
        <item m="1" x="471"/>
        <item m="1" x="58"/>
        <item m="1" x="2216"/>
        <item m="1" x="2050"/>
        <item m="1" x="1589"/>
        <item m="1" x="401"/>
        <item m="1" x="891"/>
        <item m="1" x="480"/>
        <item m="1" x="147"/>
        <item m="1" x="1239"/>
        <item m="1" x="502"/>
        <item m="1" x="1555"/>
        <item m="1" x="2229"/>
        <item m="1" x="62"/>
        <item m="1" x="2048"/>
        <item m="1" x="926"/>
        <item m="1" x="1736"/>
        <item m="1" x="1460"/>
        <item m="1" x="864"/>
        <item m="1" x="914"/>
        <item m="1" x="45"/>
        <item m="1" x="335"/>
        <item m="1" x="1213"/>
        <item m="1" x="750"/>
        <item m="1" x="697"/>
        <item m="1" x="2584"/>
        <item m="1" x="2303"/>
        <item m="1" x="1047"/>
        <item m="1" x="1625"/>
        <item m="1" x="1787"/>
        <item m="1" x="2554"/>
        <item m="1" x="578"/>
        <item m="1" x="1932"/>
        <item m="1" x="734"/>
        <item m="1" x="1099"/>
        <item m="1" x="2455"/>
        <item m="1" x="1163"/>
        <item m="1" x="342"/>
        <item m="1" x="1468"/>
        <item m="1" x="2029"/>
        <item m="1" x="1443"/>
        <item m="1" x="251"/>
        <item m="1" x="506"/>
        <item m="1" x="1649"/>
        <item m="1" x="1670"/>
        <item m="1" x="1186"/>
        <item m="1" x="1079"/>
        <item m="1" x="214"/>
        <item m="1" x="370"/>
        <item m="1" x="31"/>
        <item m="1" x="1242"/>
        <item m="1" x="2596"/>
        <item m="1" x="1248"/>
        <item m="1" x="1412"/>
        <item m="1" x="1352"/>
        <item m="1" x="279"/>
        <item m="1" x="832"/>
        <item m="1" x="817"/>
        <item m="1" x="665"/>
        <item m="1" x="1382"/>
        <item m="1" x="1074"/>
        <item m="1" x="1199"/>
        <item m="1" x="937"/>
        <item m="1" x="176"/>
        <item m="1" x="453"/>
        <item m="1" x="373"/>
        <item m="1" x="921"/>
        <item m="1" x="647"/>
        <item m="1" x="958"/>
        <item m="1" x="390"/>
        <item m="1" x="1684"/>
        <item m="1" x="1094"/>
        <item m="1" x="592"/>
        <item m="1" x="1648"/>
        <item m="1" x="2166"/>
        <item m="1" x="2514"/>
        <item m="1" x="1134"/>
        <item m="1" x="896"/>
        <item m="1" x="245"/>
        <item m="1" x="2275"/>
        <item m="1" x="2059"/>
        <item m="1" x="1609"/>
        <item m="1" x="1695"/>
        <item m="1" x="1319"/>
        <item m="1" x="782"/>
        <item m="1" x="835"/>
        <item m="1" x="1789"/>
        <item m="1" x="725"/>
        <item m="1" x="158"/>
        <item m="1" x="1428"/>
        <item m="1" x="1729"/>
        <item m="1" x="404"/>
        <item m="1" x="1902"/>
        <item m="1" x="293"/>
        <item m="1" x="1784"/>
        <item m="1" x="985"/>
        <item m="1" x="537"/>
        <item m="1" x="2602"/>
        <item m="1" x="2198"/>
        <item m="1" x="786"/>
        <item m="1" x="1711"/>
        <item m="1" x="2561"/>
        <item m="1" x="1798"/>
        <item m="1" x="1464"/>
        <item m="1" x="1892"/>
        <item m="1" x="1875"/>
        <item m="1" x="2493"/>
        <item m="1" x="337"/>
        <item m="1" x="1867"/>
        <item m="1" x="1119"/>
        <item m="1" x="2104"/>
        <item m="1" x="1773"/>
        <item m="1" x="2096"/>
        <item m="1" x="1144"/>
        <item m="1" x="536"/>
        <item m="1" x="972"/>
        <item m="1" x="1211"/>
        <item m="1" x="954"/>
        <item m="1" x="386"/>
        <item m="1" x="1151"/>
        <item m="1" x="683"/>
        <item m="1" x="2536"/>
        <item m="1" x="961"/>
        <item m="1" x="87"/>
        <item m="1" x="258"/>
        <item m="1" x="1312"/>
        <item m="1" x="1157"/>
        <item m="1" x="1363"/>
        <item m="1" x="2315"/>
        <item m="1" x="213"/>
        <item m="1" x="235"/>
        <item m="1" x="2220"/>
        <item m="1" x="1610"/>
        <item m="1" x="268"/>
        <item m="1" x="1101"/>
        <item m="1" x="1149"/>
        <item m="1" x="1395"/>
        <item m="1" x="2461"/>
        <item m="1" x="223"/>
        <item m="1" x="2559"/>
        <item m="1" x="1947"/>
        <item m="1" x="1485"/>
        <item m="1" x="2404"/>
        <item m="1" x="438"/>
        <item m="1" x="2092"/>
        <item m="1" x="1766"/>
        <item m="1" x="639"/>
        <item m="1" x="1505"/>
        <item m="1" x="2568"/>
        <item m="1" x="598"/>
        <item m="1" x="539"/>
        <item m="1" x="1511"/>
        <item m="1" x="2280"/>
        <item m="1" x="2489"/>
        <item m="1" x="887"/>
        <item m="1" x="1533"/>
        <item m="1" x="700"/>
        <item m="1" x="2152"/>
        <item m="1" x="1022"/>
        <item m="1" x="1694"/>
        <item m="1" x="322"/>
        <item m="1" x="2080"/>
        <item m="1" x="1896"/>
        <item m="1" x="450"/>
        <item m="1" x="936"/>
        <item m="1" x="2328"/>
        <item m="1" x="2125"/>
        <item m="1" x="152"/>
        <item m="1" x="2622"/>
        <item m="1" x="1966"/>
        <item m="1" x="1084"/>
        <item m="1" x="1869"/>
        <item m="1" x="1341"/>
        <item m="1" x="2081"/>
        <item m="1" x="2516"/>
        <item m="1" x="2060"/>
        <item m="1" x="1777"/>
        <item m="1" x="908"/>
        <item m="1" x="1263"/>
        <item m="1" x="163"/>
        <item m="1" x="1599"/>
        <item m="1" x="2066"/>
        <item m="1" x="1627"/>
        <item m="1" x="744"/>
        <item m="1" x="352"/>
        <item m="1" x="2429"/>
        <item m="1" x="1848"/>
        <item m="1" x="2121"/>
        <item m="1" x="1948"/>
        <item m="1" x="994"/>
        <item m="1" x="1000"/>
        <item m="1" x="2341"/>
        <item m="1" x="816"/>
        <item m="1" x="94"/>
        <item m="1" x="728"/>
        <item m="1" x="2483"/>
        <item m="1" x="2400"/>
        <item m="1" x="180"/>
        <item m="1" x="2128"/>
        <item m="1" x="2557"/>
        <item m="1" x="2133"/>
        <item m="1" x="1170"/>
        <item m="1" x="82"/>
        <item m="1" x="594"/>
        <item m="1" x="1349"/>
        <item m="1" x="909"/>
        <item m="1" x="2545"/>
        <item m="1" x="526"/>
        <item m="1" x="42"/>
        <item m="1" x="608"/>
        <item m="1" x="1038"/>
        <item m="1" x="573"/>
        <item m="1" x="1123"/>
        <item m="1" x="161"/>
        <item m="1" x="2135"/>
        <item m="1" x="1669"/>
        <item m="1" x="2359"/>
        <item m="1" x="2294"/>
        <item m="1" x="89"/>
        <item m="1" x="1602"/>
        <item m="1" x="1591"/>
        <item m="1" x="1864"/>
        <item m="1" x="1389"/>
        <item m="1" x="1672"/>
        <item m="1" x="2380"/>
        <item m="1" x="2208"/>
        <item m="1" x="1015"/>
        <item m="1" x="512"/>
        <item m="1" x="1715"/>
        <item m="1" x="2372"/>
        <item m="1" x="2284"/>
        <item m="1" x="1895"/>
        <item m="1" x="1469"/>
        <item m="1" x="1607"/>
        <item m="1" x="193"/>
        <item m="1" x="1316"/>
        <item m="1" x="1333"/>
        <item m="1" x="1153"/>
        <item m="1" x="75"/>
        <item m="1" x="664"/>
        <item m="1" x="2330"/>
        <item m="1" x="95"/>
        <item m="1" x="1437"/>
        <item m="1" x="1871"/>
        <item m="1" x="1246"/>
        <item m="1" x="794"/>
        <item m="1" x="1368"/>
        <item m="1" x="1685"/>
        <item m="1" x="848"/>
        <item m="1" x="2573"/>
        <item m="1" x="1671"/>
        <item m="1" x="2374"/>
        <item m="1" x="1410"/>
        <item m="1" x="1620"/>
        <item m="1" x="2532"/>
        <item m="1" x="1802"/>
        <item m="1" x="1624"/>
        <item m="1" x="1271"/>
        <item m="1" x="1106"/>
        <item m="1" x="792"/>
        <item m="1" x="2578"/>
        <item m="1" x="1217"/>
        <item m="1" x="2083"/>
        <item m="1" x="2492"/>
        <item m="1" x="121"/>
        <item m="1" x="1991"/>
        <item m="1" x="496"/>
        <item m="1" x="1559"/>
        <item m="1" x="1457"/>
        <item m="1" x="1253"/>
        <item m="1" x="771"/>
        <item m="1" x="2298"/>
        <item m="1" x="1638"/>
        <item m="1" x="1234"/>
        <item m="1" x="250"/>
        <item m="1" x="714"/>
        <item m="1" x="1413"/>
        <item m="1" x="2169"/>
        <item m="1" x="2515"/>
        <item m="1" x="1699"/>
        <item m="1" x="2127"/>
        <item m="1" x="347"/>
        <item m="1" x="309"/>
        <item m="1" x="1691"/>
        <item m="1" x="905"/>
        <item m="1" x="2422"/>
        <item m="1" x="360"/>
        <item m="1" x="2391"/>
        <item m="1" x="2546"/>
        <item m="1" x="1257"/>
        <item m="1" x="2570"/>
        <item m="1" x="789"/>
        <item m="1" x="1160"/>
        <item m="1" x="2629"/>
        <item m="1" x="845"/>
        <item m="1" x="2184"/>
        <item m="1" x="749"/>
        <item m="1" x="1007"/>
        <item m="1" x="1353"/>
        <item m="1" x="1075"/>
        <item m="1" x="1164"/>
        <item m="1" x="1043"/>
        <item m="1" x="2560"/>
        <item m="1" x="498"/>
        <item m="1" x="151"/>
        <item m="1" x="535"/>
        <item m="1" x="2285"/>
        <item m="1" x="1165"/>
        <item m="1" x="1258"/>
        <item m="1" x="809"/>
        <item m="1" x="1682"/>
        <item m="1" x="2071"/>
        <item m="1" x="1645"/>
        <item m="1" x="302"/>
        <item m="1" x="975"/>
        <item m="1" x="1561"/>
        <item m="1" x="969"/>
        <item m="1" x="2388"/>
        <item m="1" x="274"/>
        <item m="1" x="656"/>
        <item m="1" x="1117"/>
        <item m="1" x="2055"/>
        <item m="1" x="2446"/>
        <item m="1" x="1626"/>
        <item m="1" x="1002"/>
        <item m="1" x="1477"/>
        <item m="1" x="2414"/>
        <item m="1" x="1327"/>
        <item m="1" x="2134"/>
        <item m="1" x="558"/>
        <item m="1" x="1835"/>
        <item m="1" x="2287"/>
        <item m="1" x="1210"/>
        <item m="1" x="427"/>
        <item m="1" x="1866"/>
        <item m="1" x="2471"/>
        <item m="1" x="437"/>
        <item m="1" x="568"/>
        <item m="1" x="650"/>
        <item m="1" x="818"/>
        <item m="1" x="612"/>
        <item m="1" x="1797"/>
        <item m="1" x="2103"/>
        <item m="1" x="850"/>
        <item m="1" x="164"/>
        <item m="1" x="878"/>
        <item m="1" x="1858"/>
        <item m="1" x="192"/>
        <item m="1" x="2233"/>
        <item m="1" x="581"/>
        <item m="1" x="495"/>
        <item m="1" x="2326"/>
        <item m="1" x="717"/>
        <item m="1" x="1093"/>
        <item m="1" x="1344"/>
        <item m="1" x="1086"/>
        <item m="1" x="1696"/>
        <item m="1" x="209"/>
        <item m="1" x="246"/>
        <item m="1" x="2337"/>
        <item m="1" x="402"/>
        <item m="1" x="2226"/>
        <item m="1" x="124"/>
        <item m="1" x="303"/>
        <item m="1" x="241"/>
        <item m="1" x="226"/>
        <item m="1" x="1527"/>
        <item m="1" x="657"/>
        <item m="1" x="1396"/>
        <item m="1" x="2038"/>
        <item m="1" x="533"/>
        <item m="1" x="257"/>
        <item m="1" x="875"/>
        <item m="1" x="1490"/>
        <item m="1" x="366"/>
        <item m="1" x="1104"/>
        <item m="1" x="527"/>
        <item m="1" x="2067"/>
        <item m="1" x="2413"/>
        <item m="1" x="2151"/>
        <item m="1" x="2591"/>
        <item m="1" x="2436"/>
        <item m="1" x="78"/>
        <item m="1" x="910"/>
        <item m="1" x="400"/>
        <item m="1" x="800"/>
        <item m="1" x="1087"/>
        <item m="1" x="2061"/>
        <item m="1" x="675"/>
        <item m="1" x="265"/>
        <item m="1" x="2621"/>
        <item m="1" x="2612"/>
        <item m="1" x="1159"/>
        <item m="1" x="1026"/>
        <item m="1" x="1227"/>
        <item m="1" x="673"/>
        <item m="1" x="777"/>
        <item m="1" x="978"/>
        <item m="1" x="876"/>
        <item m="1" x="479"/>
        <item m="1" x="1272"/>
        <item m="1" x="747"/>
        <item m="1" x="892"/>
        <item m="1" x="741"/>
        <item m="1" x="1446"/>
        <item m="1" x="906"/>
        <item m="1" x="903"/>
        <item m="1" x="1444"/>
        <item m="1" x="253"/>
        <item m="1" x="2509"/>
        <item m="1" x="813"/>
        <item m="1" x="753"/>
        <item m="1" x="880"/>
        <item m="1" x="1196"/>
        <item m="1" x="988"/>
        <item m="1" x="1307"/>
        <item m="1" x="1336"/>
        <item m="1" x="941"/>
        <item m="1" x="1400"/>
        <item m="1" x="1491"/>
        <item m="1" x="859"/>
        <item m="1" x="35"/>
        <item m="1" x="1891"/>
        <item m="1" x="2362"/>
        <item m="1" x="2176"/>
        <item m="1" x="1403"/>
        <item m="1" x="1127"/>
        <item m="1" x="411"/>
        <item m="1" x="998"/>
        <item m="1" x="2260"/>
        <item m="1" x="37"/>
        <item m="1" x="2443"/>
        <item m="1" x="1584"/>
        <item m="1" x="1323"/>
        <item m="1" x="2244"/>
        <item m="1" x="2028"/>
        <item m="1" x="365"/>
        <item m="1" x="239"/>
        <item m="1" x="701"/>
        <item m="1" x="264"/>
        <item m="1" x="820"/>
        <item m="1" x="1005"/>
        <item m="1" x="1758"/>
        <item m="1" x="1955"/>
        <item m="1" x="727"/>
        <item m="1" x="2394"/>
        <item m="1" x="960"/>
        <item m="1" x="1707"/>
        <item m="1" x="1345"/>
        <item m="1" x="1942"/>
        <item m="1" x="349"/>
        <item m="1" x="705"/>
        <item m="1" x="64"/>
        <item m="1" x="2601"/>
        <item m="1" x="1280"/>
        <item m="1" x="1634"/>
        <item m="1" x="778"/>
        <item m="1" x="1576"/>
        <item m="1" x="242"/>
        <item m="1" x="1314"/>
        <item m="1" x="1282"/>
        <item m="1" x="1105"/>
        <item m="1" x="945"/>
        <item m="1" x="1722"/>
        <item m="1" x="947"/>
        <item m="1" x="1592"/>
        <item m="1" x="1279"/>
        <item m="1" x="1328"/>
        <item m="1" x="2094"/>
        <item m="1" x="503"/>
        <item m="1" x="227"/>
        <item m="1" x="358"/>
        <item m="1" x="2187"/>
        <item m="1" x="1320"/>
        <item m="1" x="441"/>
        <item m="1" x="296"/>
        <item m="1" x="785"/>
        <item m="1" x="1842"/>
        <item m="1" x="2408"/>
        <item m="1" x="106"/>
        <item m="1" x="1716"/>
        <item m="1" x="2155"/>
        <item m="1" x="2204"/>
        <item m="1" x="516"/>
        <item m="1" x="2115"/>
        <item m="1" x="1275"/>
        <item m="1" x="142"/>
        <item m="1" x="1496"/>
        <item m="1" x="1138"/>
        <item m="1" x="1458"/>
        <item m="1" x="439"/>
        <item m="1" x="2609"/>
        <item m="1" x="282"/>
        <item m="1" x="654"/>
        <item m="1" x="1597"/>
        <item m="1" x="1780"/>
        <item m="1" x="507"/>
        <item m="1" x="669"/>
        <item m="1" x="2329"/>
        <item m="1" x="2252"/>
        <item m="1" x="368"/>
        <item m="1" x="1379"/>
        <item m="1" x="851"/>
        <item m="1" x="1216"/>
        <item m="1" x="1753"/>
        <item m="1" x="2256"/>
        <item m="1" x="2397"/>
        <item m="1" x="1267"/>
        <item m="1" x="2253"/>
        <item m="1" x="2049"/>
        <item m="1" x="2157"/>
        <item m="1" x="1356"/>
        <item m="1" x="2605"/>
        <item m="1" x="690"/>
        <item m="1" x="980"/>
        <item m="1" x="2217"/>
        <item m="1" x="1375"/>
        <item m="1" x="128"/>
        <item m="1" x="776"/>
        <item m="1" x="1473"/>
        <item m="1" x="219"/>
        <item m="1" x="1376"/>
        <item m="1" x="2623"/>
        <item m="1" x="1785"/>
        <item m="1" x="1530"/>
        <item m="1" x="47"/>
        <item m="1" x="1088"/>
        <item m="1" x="1849"/>
        <item m="1" x="703"/>
        <item m="1" x="1455"/>
        <item m="1" x="475"/>
        <item m="1" x="311"/>
        <item m="1" x="1723"/>
        <item m="1" x="266"/>
        <item m="1" x="1150"/>
        <item m="1" x="1677"/>
        <item m="1" x="2468"/>
        <item m="1" x="992"/>
        <item m="1" x="244"/>
        <item m="1" x="2409"/>
        <item m="1" x="267"/>
        <item m="1" x="1510"/>
        <item m="1" x="333"/>
        <item m="1" x="1562"/>
        <item m="1" x="2464"/>
        <item m="1" x="361"/>
        <item m="1" x="949"/>
        <item m="1" x="959"/>
        <item m="1" x="1538"/>
        <item m="1" x="870"/>
        <item m="1" x="556"/>
        <item m="1" x="1222"/>
        <item m="1" x="494"/>
        <item m="1" x="2530"/>
        <item m="1" x="20"/>
        <item m="1" x="2576"/>
        <item m="1" x="1229"/>
        <item m="1" x="2529"/>
        <item m="1" x="428"/>
        <item m="1" x="1526"/>
        <item m="1" x="2440"/>
        <item m="1" x="191"/>
        <item m="1" x="1543"/>
        <item m="1" x="1826"/>
        <item m="1" x="357"/>
        <item m="1" x="431"/>
        <item m="1" x="284"/>
        <item m="1" x="1874"/>
        <item m="1" x="39"/>
        <item m="1" x="2120"/>
        <item m="1" x="1373"/>
        <item m="1" x="2130"/>
        <item m="1" x="1820"/>
        <item m="1" x="285"/>
        <item m="1" x="1883"/>
        <item m="1" x="2240"/>
        <item m="1" x="1190"/>
        <item m="1" x="1445"/>
        <item m="1" x="1439"/>
        <item m="1" x="1546"/>
        <item m="1" x="283"/>
        <item m="1" x="1450"/>
        <item m="1" x="420"/>
        <item m="1" x="860"/>
        <item m="1" x="588"/>
        <item m="1" x="459"/>
        <item m="1" x="2343"/>
        <item m="1" x="24"/>
        <item m="1" x="1920"/>
        <item m="1" x="2040"/>
        <item m="1" x="562"/>
        <item m="1" x="1080"/>
        <item m="1" x="221"/>
        <item m="1" x="1922"/>
        <item m="1" x="2477"/>
        <item m="1" x="1440"/>
        <item m="1" x="2582"/>
        <item m="1" x="2469"/>
        <item m="1" x="2579"/>
        <item m="1" x="2006"/>
        <item m="1" x="577"/>
        <item m="1" x="422"/>
        <item m="1" x="2206"/>
        <item m="1" x="2192"/>
        <item m="1" x="2470"/>
        <item m="1" x="2355"/>
        <item m="1" x="1813"/>
        <item m="1" x="146"/>
        <item m="1" x="148"/>
        <item m="1" x="1198"/>
        <item m="1" x="2221"/>
        <item m="1" x="1661"/>
        <item m="1" x="513"/>
        <item m="1" x="925"/>
        <item m="1" x="1734"/>
        <item m="1" x="233"/>
        <item m="1" x="134"/>
        <item m="1" x="2334"/>
        <item m="1" x="173"/>
        <item m="1" x="2141"/>
        <item m="1" x="1665"/>
        <item m="1" x="1384"/>
        <item m="1" x="1154"/>
        <item m="1" x="2390"/>
        <item m="1" x="1536"/>
        <item m="1" x="1967"/>
        <item m="1" x="1621"/>
        <item m="1" x="2583"/>
        <item m="1" x="1531"/>
        <item m="1" x="1821"/>
        <item m="1" x="981"/>
        <item m="1" x="1804"/>
        <item m="1" x="1998"/>
        <item m="1" x="2585"/>
        <item m="1" x="1266"/>
        <item m="1" x="586"/>
        <item m="1" x="1868"/>
        <item m="1" x="1973"/>
        <item m="1" x="872"/>
        <item m="1" x="85"/>
        <item m="1" x="1857"/>
        <item m="1" x="2149"/>
        <item m="1" x="1710"/>
        <item m="1" x="1024"/>
        <item m="1" x="1178"/>
        <item m="1" x="2505"/>
        <item m="1" x="2331"/>
        <item m="1" x="2610"/>
        <item m="1" x="572"/>
        <item m="1" x="2513"/>
        <item m="1" x="646"/>
        <item m="1" x="1008"/>
        <item m="1" x="448"/>
        <item m="1" x="866"/>
        <item m="1" x="182"/>
        <item m="1" x="1372"/>
        <item m="1" x="2272"/>
        <item m="1" x="1793"/>
        <item m="1" x="353"/>
        <item m="1" x="923"/>
        <item m="1" x="500"/>
        <item m="1" x="1230"/>
        <item m="1" x="1943"/>
        <item m="1" x="1433"/>
        <item m="1" x="1125"/>
        <item m="1" x="951"/>
        <item m="1" x="1082"/>
        <item m="1" x="1155"/>
        <item m="1" x="1470"/>
        <item m="1" x="801"/>
        <item m="1" x="1251"/>
        <item m="1" x="294"/>
        <item m="1" x="542"/>
        <item m="1" x="99"/>
        <item m="1" x="2528"/>
        <item m="1" x="1961"/>
        <item m="1" x="1579"/>
        <item m="1" x="1065"/>
        <item m="1" x="469"/>
        <item m="1" x="168"/>
        <item m="1" x="463"/>
        <item m="1" x="1226"/>
        <item m="1" x="2181"/>
        <item m="1" x="552"/>
        <item m="1" x="751"/>
        <item m="1" x="2525"/>
        <item m="1" x="965"/>
        <item m="1" x="935"/>
        <item m="1" x="488"/>
        <item m="1" x="1740"/>
        <item m="1" x="154"/>
        <item m="1" x="2165"/>
        <item m="1" x="713"/>
        <item m="1" x="1750"/>
        <item m="1" x="643"/>
        <item m="1" x="902"/>
        <item m="1" x="1431"/>
        <item m="1" x="1744"/>
        <item m="1" x="2577"/>
        <item m="1" x="1147"/>
        <item m="1" x="640"/>
        <item m="1" x="1737"/>
        <item m="1" x="1633"/>
        <item m="1" x="641"/>
        <item m="1" x="2283"/>
        <item m="1" x="2171"/>
        <item m="1" x="2238"/>
        <item m="1" x="2228"/>
        <item m="1" x="1539"/>
        <item m="1" x="2300"/>
        <item m="1" x="2041"/>
        <item m="1" x="2349"/>
        <item m="1" x="561"/>
        <item m="1" x="836"/>
        <item m="1" x="1139"/>
        <item m="1" x="2159"/>
        <item m="1" x="2580"/>
        <item m="1" x="1899"/>
        <item m="1" x="1268"/>
        <item m="1" x="1622"/>
        <item m="1" x="879"/>
        <item m="1" x="1981"/>
        <item m="1" x="203"/>
        <item m="1" x="783"/>
        <item m="1" x="2194"/>
        <item m="1" x="1681"/>
        <item m="1" x="50"/>
        <item m="1" x="397"/>
        <item m="1" x="1483"/>
        <item m="1" x="1295"/>
        <item m="1" x="1006"/>
        <item m="1" x="1098"/>
        <item m="1" x="735"/>
        <item m="1" x="1808"/>
        <item m="1" x="2102"/>
        <item m="1" x="153"/>
        <item m="1" x="1492"/>
        <item m="1" x="780"/>
        <item m="1" x="1908"/>
        <item m="1" x="834"/>
        <item m="1" x="1534"/>
        <item m="1" x="1521"/>
        <item m="1" x="651"/>
        <item m="1" x="299"/>
        <item m="1" x="1238"/>
        <item m="1" x="2168"/>
        <item m="1" x="781"/>
        <item m="1" x="1850"/>
        <item m="1" x="757"/>
        <item m="1" x="1175"/>
        <item m="1" x="379"/>
        <item m="1" x="1713"/>
        <item m="1" x="2382"/>
        <item m="1" x="2044"/>
        <item m="1" x="1903"/>
        <item m="1" x="1514"/>
        <item m="1" x="2017"/>
        <item m="1" x="2589"/>
        <item m="1" x="1479"/>
        <item m="1" x="2136"/>
        <item m="1" x="2485"/>
        <item m="1" x="2572"/>
        <item m="1" x="922"/>
        <item m="1" x="1321"/>
        <item m="1" x="117"/>
        <item m="1" x="1995"/>
        <item m="1" x="1763"/>
        <item m="1" x="752"/>
        <item m="1" x="791"/>
        <item m="1" x="1283"/>
        <item m="1" x="2279"/>
        <item m="1" x="84"/>
        <item m="1" x="1814"/>
        <item m="1" x="893"/>
        <item m="1" x="1294"/>
        <item m="1" x="525"/>
        <item m="1" x="1114"/>
        <item m="1" x="362"/>
        <item m="1" x="97"/>
        <item m="1" x="1330"/>
        <item m="1" x="2427"/>
        <item m="1" x="2416"/>
        <item m="1" x="52"/>
        <item m="1" x="1131"/>
        <item m="1" x="1936"/>
        <item m="1" x="1583"/>
        <item m="1" x="1245"/>
        <item m="1" x="289"/>
        <item m="1" x="2423"/>
        <item m="1" x="1143"/>
        <item m="1" x="1475"/>
        <item m="1" x="1800"/>
        <item m="1" x="277"/>
        <item m="1" x="544"/>
        <item m="1" x="1311"/>
        <item m="1" x="2302"/>
        <item m="1" x="232"/>
        <item m="1" x="270"/>
        <item m="1" x="2246"/>
        <item m="1" x="873"/>
        <item m="1" x="696"/>
        <item m="1" x="2539"/>
        <item m="1" x="2222"/>
        <item m="1" x="2305"/>
        <item m="1" x="557"/>
        <item m="1" x="1339"/>
        <item m="1" x="484"/>
        <item m="1" x="30"/>
        <item m="1" x="1233"/>
        <item m="1" x="492"/>
        <item m="1" x="2350"/>
        <item m="1" x="2101"/>
        <item m="1" x="626"/>
        <item m="1" x="698"/>
        <item m="1" x="2342"/>
        <item m="1" x="105"/>
        <item m="1" x="1962"/>
        <item m="1" x="814"/>
        <item m="1" x="2278"/>
        <item m="1" x="230"/>
        <item m="1" x="2379"/>
        <item m="1" x="2316"/>
        <item m="1" x="2348"/>
        <item m="1" x="391"/>
        <item m="1" x="2500"/>
        <item m="1" x="1890"/>
        <item m="1" x="624"/>
        <item m="1" x="2116"/>
        <item m="1" x="928"/>
        <item m="1" x="1825"/>
        <item m="1" x="372"/>
        <item m="1" x="388"/>
        <item m="1" x="615"/>
        <item m="1" x="2037"/>
        <item m="1" x="2089"/>
        <item m="1" x="2522"/>
        <item m="1" x="2360"/>
        <item m="1" x="551"/>
        <item m="1" x="2020"/>
        <item m="1" x="601"/>
        <item m="1" x="1937"/>
        <item m="1" x="1113"/>
        <item m="1" x="1324"/>
        <item m="1" x="133"/>
        <item m="1" x="1925"/>
        <item m="1" x="1418"/>
        <item m="1" x="825"/>
        <item m="1" x="1471"/>
        <item m="1" x="1309"/>
        <item m="1" x="1419"/>
        <item m="1" x="1894"/>
        <item m="1" x="1563"/>
        <item m="1" x="2417"/>
        <item m="1" x="2000"/>
        <item m="1" x="34"/>
        <item m="1" x="614"/>
        <item m="1" x="1487"/>
        <item m="1" x="1906"/>
        <item m="1" x="350"/>
        <item m="1" x="2444"/>
        <item m="1" x="1931"/>
        <item m="1" x="1666"/>
        <item m="1" x="1593"/>
        <item m="1" x="732"/>
        <item m="1" x="1422"/>
        <item m="1" x="2377"/>
        <item m="1" x="383"/>
        <item m="1" x="2091"/>
        <item m="1" x="1881"/>
        <item m="1" x="509"/>
        <item m="1" x="1613"/>
        <item m="1" x="2259"/>
        <item m="1" x="1745"/>
        <item m="1" x="2219"/>
        <item m="1" x="1683"/>
        <item m="1" x="2214"/>
        <item m="1" x="2146"/>
        <item m="1" x="1273"/>
        <item m="1" x="1161"/>
        <item m="1" x="1603"/>
        <item m="1" x="2503"/>
        <item m="1" x="2356"/>
        <item m="1" x="631"/>
        <item m="1" x="826"/>
        <item m="1" x="2586"/>
        <item m="1" x="1752"/>
        <item m="1" x="2498"/>
        <item m="1" x="811"/>
        <item m="1" x="2018"/>
        <item m="1" x="1659"/>
        <item m="1" x="587"/>
        <item m="1" x="1103"/>
        <item m="1" x="702"/>
        <item m="1" x="1792"/>
        <item m="1" x="1010"/>
        <item m="1" x="1693"/>
        <item m="1" x="2405"/>
        <item m="1" x="40"/>
        <item m="1" x="1969"/>
        <item m="1" x="1027"/>
        <item m="1" x="1278"/>
        <item m="1" x="409"/>
        <item m="1" x="2402"/>
        <item m="1" x="2550"/>
        <item m="1" x="66"/>
        <item m="1" x="952"/>
        <item m="1" x="290"/>
        <item m="1" x="589"/>
        <item m="1" x="738"/>
        <item m="1" x="1478"/>
        <item m="1" x="2604"/>
        <item m="1" x="1550"/>
        <item m="1" x="837"/>
        <item m="1" x="973"/>
        <item m="1" x="505"/>
        <item m="1" x="389"/>
        <item m="1" x="769"/>
        <item m="1" x="1405"/>
        <item m="1" x="312"/>
        <item m="1" x="1374"/>
        <item m="1" x="1337"/>
        <item m="1" x="2438"/>
        <item m="1" x="1393"/>
        <item m="1" x="129"/>
        <item m="1" x="1653"/>
        <item m="1" x="269"/>
        <item m="1" x="1051"/>
        <item m="1" x="14"/>
        <item m="1" x="381"/>
        <item m="1" x="218"/>
        <item m="1" x="2353"/>
        <item m="1" x="1879"/>
        <item m="1" x="2406"/>
        <item m="1" x="36"/>
        <item m="1" x="2383"/>
        <item m="1" x="399"/>
        <item m="1" x="2387"/>
        <item m="1" x="207"/>
        <item m="1" x="2138"/>
        <item m="1" x="216"/>
        <item m="1" x="2144"/>
        <item m="1" x="1515"/>
        <item m="1" x="1071"/>
        <item m="1" x="1297"/>
        <item m="1" x="1046"/>
        <item m="1" x="679"/>
        <item m="1" x="1574"/>
        <item m="1" x="1085"/>
        <item m="1" x="1509"/>
        <item m="1" x="1432"/>
        <item m="1" x="61"/>
        <item m="1" x="1358"/>
        <item m="1" x="2308"/>
        <item m="1" x="2361"/>
        <item m="1" x="1494"/>
        <item m="1" x="974"/>
        <item m="1" x="970"/>
        <item m="1" x="991"/>
        <item m="1" x="1738"/>
        <item m="1" x="1570"/>
        <item m="1" x="190"/>
        <item m="1" x="319"/>
        <item m="1" x="642"/>
        <item m="1" x="629"/>
        <item m="1" x="1335"/>
        <item m="1" x="2384"/>
        <item m="1" x="2190"/>
        <item m="1" x="435"/>
        <item m="1" x="1535"/>
        <item m="1" x="1954"/>
        <item m="1" x="1206"/>
        <item m="1" x="1520"/>
        <item m="1" x="1420"/>
        <item m="1" x="956"/>
        <item m="1" x="2386"/>
        <item m="1" x="1063"/>
        <item m="1" x="676"/>
        <item m="1" x="1679"/>
        <item m="1" x="810"/>
        <item m="1" x="1354"/>
        <item m="1" x="1244"/>
        <item m="1" x="1778"/>
        <item m="1" x="528"/>
        <item m="1" x="1281"/>
        <item m="1" x="2415"/>
        <item m="1" x="175"/>
        <item m="1" x="2371"/>
        <item m="1" x="1590"/>
        <item m="1" x="238"/>
        <item m="1" x="212"/>
        <item m="1" x="171"/>
        <item m="1" x="2597"/>
        <item m="1" x="1235"/>
        <item m="1" x="1727"/>
        <item m="1" x="21"/>
        <item m="1" x="2365"/>
        <item m="1" x="788"/>
        <item m="1" x="2036"/>
        <item m="1" x="1690"/>
        <item m="1" x="1115"/>
        <item m="1" x="1735"/>
        <item m="1" x="1730"/>
        <item m="1" x="210"/>
        <item m="1" x="181"/>
        <item m="1" x="1970"/>
        <item m="1" x="1148"/>
        <item m="1" x="964"/>
        <item m="1" x="1975"/>
        <item m="1" x="2124"/>
        <item m="1" x="323"/>
        <item m="1" x="395"/>
        <item m="1" x="2590"/>
        <item m="1" x="901"/>
        <item m="1" x="1318"/>
        <item m="1" x="443"/>
        <item m="1" x="1569"/>
        <item m="1" x="519"/>
        <item m="1" x="1359"/>
        <item m="1" x="1897"/>
        <item m="1" x="385"/>
        <item m="1" x="622"/>
        <item m="1" x="86"/>
        <item m="1" x="2249"/>
        <item m="1" x="828"/>
        <item m="1" x="224"/>
        <item m="1" x="2626"/>
        <item m="1" x="1640"/>
        <item m="1" x="546"/>
        <item m="1" x="580"/>
        <item m="1" x="2392"/>
        <item m="1" x="1179"/>
        <item m="1" x="1097"/>
        <item m="1" x="254"/>
        <item m="1" x="2619"/>
        <item m="1" x="1030"/>
        <item m="1" x="724"/>
        <item m="1" x="888"/>
        <item m="1" x="1180"/>
        <item m="1" x="1817"/>
        <item m="1" x="1774"/>
        <item m="1" x="1387"/>
        <item m="1" x="2148"/>
        <item m="1" x="2398"/>
        <item m="1" x="415"/>
        <item m="1" x="384"/>
        <item m="1" x="1182"/>
        <item m="1" x="489"/>
        <item m="1" x="18"/>
        <item m="1" x="1863"/>
        <item m="1" x="304"/>
        <item m="1" x="2434"/>
        <item m="1" x="1567"/>
        <item m="1" x="680"/>
        <item m="1" x="1822"/>
        <item m="1" x="456"/>
        <item m="1" x="523"/>
        <item m="1" x="1209"/>
        <item m="1" x="15"/>
        <item m="1" x="1014"/>
        <item m="1" x="2430"/>
        <item m="1" x="2366"/>
        <item m="1" x="1361"/>
        <item m="1" x="127"/>
        <item m="1" x="1728"/>
        <item m="1" x="1615"/>
        <item m="1" x="1855"/>
        <item m="1" x="1827"/>
        <item m="1" x="1706"/>
        <item m="1" x="1641"/>
        <item m="1" x="1886"/>
        <item m="1" x="27"/>
        <item m="1" x="1482"/>
        <item m="1" x="2022"/>
        <item m="1" x="2177"/>
        <item m="1" x="1606"/>
        <item m="1" x="2490"/>
        <item m="1" x="1989"/>
        <item m="1" x="2016"/>
        <item m="1" x="367"/>
        <item m="1" x="19"/>
        <item m="1" x="1408"/>
        <item m="1" x="605"/>
        <item m="1" x="1130"/>
        <item m="1" x="600"/>
        <item m="1" x="689"/>
        <item m="1" x="2323"/>
        <item m="1" x="1331"/>
        <item m="1" x="541"/>
        <item m="1" x="2346"/>
        <item m="1" x="72"/>
        <item m="1" x="1541"/>
        <item m="1" x="468"/>
        <item m="1" x="1971"/>
        <item m="1" x="2087"/>
        <item m="1" x="865"/>
        <item m="1" x="457"/>
        <item m="1" x="1262"/>
        <item m="1" x="205"/>
        <item m="1" x="2031"/>
        <item m="1" x="709"/>
        <item m="1" x="663"/>
        <item m="1" x="344"/>
        <item m="1" x="2064"/>
        <item m="1" x="597"/>
        <item m="1" x="231"/>
        <item m="1" x="119"/>
        <item m="1" x="763"/>
        <item m="1" x="211"/>
        <item m="1" x="2072"/>
        <item m="1" x="1472"/>
        <item m="1" x="1768"/>
        <item m="1" x="2333"/>
        <item m="1" x="1829"/>
        <item m="1" x="1664"/>
        <item m="1" x="2292"/>
        <item m="1" x="2407"/>
        <item m="1" x="2625"/>
        <item m="1" x="755"/>
        <item m="1" x="2248"/>
        <item m="1" x="530"/>
        <item m="1" x="715"/>
        <item m="1" x="2368"/>
        <item m="1" x="295"/>
        <item m="1" x="547"/>
        <item m="1" x="1944"/>
        <item m="1" x="280"/>
        <item m="1" x="2603"/>
        <item m="1" x="1214"/>
        <item m="1" x="593"/>
        <item m="1" x="1939"/>
        <item m="1" x="740"/>
        <item m="1" x="449"/>
        <item m="1" x="1940"/>
        <item m="1" x="229"/>
        <item m="1" x="183"/>
        <item m="1" x="447"/>
        <item m="1" x="881"/>
        <item m="1" x="929"/>
        <item m="1" x="644"/>
        <item m="1" x="2449"/>
        <item m="1" x="2508"/>
        <item m="1" x="1499"/>
        <item m="1" x="1770"/>
        <item m="1" x="2111"/>
        <item m="1" x="529"/>
        <item m="1" x="1003"/>
        <item m="1" x="1424"/>
        <item m="1" x="1060"/>
        <item m="1" x="1877"/>
        <item m="1" x="1189"/>
        <item m="1" x="1110"/>
        <item m="1" x="2193"/>
        <item m="1" x="2357"/>
        <item m="1" x="2523"/>
        <item m="1" x="2569"/>
        <item m="1" x="1237"/>
        <item m="1" x="758"/>
        <item m="1" x="2304"/>
        <item m="1" x="2442"/>
        <item m="1" x="838"/>
        <item m="1" x="1201"/>
        <item m="1" x="1427"/>
        <item m="1" x="668"/>
        <item m="1" x="200"/>
        <item m="1" x="2540"/>
        <item m="1" x="1236"/>
        <item m="1" x="2255"/>
        <item m="1" x="1429"/>
        <item m="1" x="1598"/>
        <item m="1" x="630"/>
        <item m="1" x="2549"/>
        <item m="1" x="2042"/>
        <item m="1" x="1076"/>
        <item m="1" x="1935"/>
        <item m="1" x="248"/>
        <item m="1" x="2488"/>
        <item m="1" x="1441"/>
        <item m="1" x="760"/>
        <item m="1" x="2273"/>
        <item m="1" x="1933"/>
        <item m="1" x="2156"/>
        <item m="1" x="1619"/>
        <item m="1" x="2057"/>
        <item m="1" x="334"/>
        <item m="1" x="634"/>
        <item m="1" x="2491"/>
        <item m="1" x="1807"/>
        <item m="1" x="1748"/>
        <item m="1" x="1068"/>
        <item m="1" x="963"/>
        <item m="1" x="886"/>
        <item m="1" x="1803"/>
        <item m="1" x="518"/>
        <item m="1" x="2347"/>
        <item m="1" x="1702"/>
        <item m="1" x="938"/>
        <item m="1" x="252"/>
        <item m="1" x="48"/>
        <item m="1" x="1636"/>
        <item m="1" x="520"/>
        <item m="1" x="60"/>
        <item m="1" x="774"/>
        <item m="1" x="2183"/>
        <item m="1" x="2268"/>
        <item m="1" x="1980"/>
        <item m="1" x="2005"/>
        <item m="1" x="515"/>
        <item m="1" x="1070"/>
        <item m="1" x="2108"/>
        <item m="1" x="861"/>
        <item m="1" x="743"/>
        <item m="1" x="1083"/>
        <item m="1" x="1837"/>
        <item m="1" x="159"/>
        <item m="1" x="1264"/>
        <item m="1" x="871"/>
        <item m="1" x="1958"/>
        <item m="1" x="179"/>
        <item m="1" x="932"/>
        <item m="1" x="867"/>
        <item m="1" x="436"/>
        <item m="1" x="25"/>
        <item m="1" x="739"/>
        <item m="1" x="1289"/>
        <item m="1" x="67"/>
        <item m="1" x="797"/>
        <item m="1" x="338"/>
        <item m="1" x="602"/>
        <item m="1" x="877"/>
        <item m="1" x="1861"/>
        <item m="1" x="2345"/>
        <item m="1" x="369"/>
        <item m="1" x="1689"/>
        <item m="1" x="761"/>
        <item m="1" x="1367"/>
        <item m="1" x="29"/>
        <item m="1" x="632"/>
        <item m="1" x="1688"/>
        <item m="1" x="2575"/>
        <item m="1" x="394"/>
        <item m="1" x="2054"/>
        <item m="1" x="1963"/>
        <item m="1" x="2375"/>
        <item m="1" x="1381"/>
        <item m="1" x="1847"/>
        <item m="1" x="418"/>
        <item m="1" x="1502"/>
        <item m="1" x="1788"/>
        <item m="1" x="543"/>
        <item m="1" x="102"/>
        <item m="1" x="1654"/>
        <item m="1" x="1732"/>
        <item m="1" x="759"/>
        <item m="1" x="1726"/>
        <item m="1" x="884"/>
        <item m="1" x="2027"/>
        <item m="1" x="1171"/>
        <item m="1" x="2075"/>
        <item m="1" x="570"/>
        <item m="1" x="13"/>
        <item m="1" x="455"/>
        <item m="1" x="2160"/>
        <item m="1" x="2099"/>
        <item m="1" x="430"/>
        <item m="1" x="2172"/>
        <item m="1" x="2558"/>
        <item m="1" x="189"/>
        <item m="1" x="1061"/>
        <item m="1" x="2003"/>
        <item m="1" x="126"/>
        <item m="1" x="2607"/>
        <item m="1" x="621"/>
        <item m="1" x="2618"/>
        <item m="1" x="652"/>
        <item m="1" x="1938"/>
        <item m="1" x="1667"/>
        <item m="1" x="2078"/>
        <item m="1" x="2123"/>
        <item m="1" x="649"/>
        <item m="1" x="1225"/>
        <item m="1" x="1719"/>
        <item m="1" x="1032"/>
        <item m="1" x="222"/>
        <item m="1" x="1185"/>
        <item m="1" x="2026"/>
        <item m="1" x="770"/>
        <item m="1" x="103"/>
        <item m="1" x="1587"/>
        <item m="1" x="63"/>
        <item m="1" x="1996"/>
        <item m="1" x="1498"/>
        <item m="1" x="2270"/>
        <item m="1" x="984"/>
        <item m="1" x="2117"/>
        <item m="1" x="610"/>
        <item m="1" x="2180"/>
        <item m="1" x="2223"/>
        <item m="1" x="924"/>
        <item m="1" x="2056"/>
        <item m="1" x="100"/>
        <item m="1" x="1544"/>
        <item m="1" x="2114"/>
        <item m="1" x="1532"/>
        <item m="1" x="1141"/>
        <item m="1" x="1577"/>
        <item m="1" x="2289"/>
        <item m="1" x="1656"/>
        <item m="1" x="1545"/>
        <item m="1" x="1228"/>
        <item m="1" x="354"/>
        <item m="1" x="167"/>
        <item m="1" x="659"/>
        <item m="1" x="999"/>
        <item m="1" x="2358"/>
        <item m="1" x="429"/>
        <item m="1" x="1120"/>
        <item m="1" x="979"/>
        <item m="1" x="1836"/>
        <item m="1" x="240"/>
        <item m="1" x="1296"/>
        <item m="1" x="1856"/>
        <item m="1" x="1504"/>
        <item m="1" x="1960"/>
        <item m="1" x="1647"/>
        <item m="1" x="2251"/>
        <item m="1" x="1839"/>
        <item m="1" x="486"/>
        <item m="1" x="194"/>
        <item m="1" x="396"/>
        <item m="1" x="2615"/>
        <item m="1" x="261"/>
        <item m="1" x="1941"/>
        <item m="1" x="677"/>
        <item m="1" x="623"/>
        <item m="1" x="1859"/>
        <item m="1" x="96"/>
        <item m="1" x="920"/>
        <item m="1" x="1274"/>
        <item m="1" x="2555"/>
        <item m="1" x="2033"/>
        <item m="1" x="1983"/>
        <item m="1" x="2211"/>
        <item m="1" x="1993"/>
        <item m="1" x="1394"/>
        <item m="1" x="2227"/>
        <item m="1" x="2199"/>
        <item m="1" x="1650"/>
        <item m="1" x="2478"/>
        <item m="1" x="1146"/>
        <item m="1" x="599"/>
        <item m="1" x="2008"/>
        <item m="1" x="408"/>
        <item m="1" x="1231"/>
        <item m="1" x="1703"/>
        <item m="1" x="499"/>
        <item m="1" x="2014"/>
        <item m="1" x="1129"/>
        <item m="1" x="2473"/>
        <item m="1" x="1001"/>
        <item m="1" x="2340"/>
        <item m="1" x="1203"/>
        <item m="1" x="1907"/>
        <item m="1" x="2474"/>
        <item m="1" x="943"/>
        <item m="1" x="799"/>
        <item m="1" x="1616"/>
        <item m="1" x="131"/>
        <item m="1" x="2437"/>
        <item m="1" x="2524"/>
        <item m="1" x="931"/>
        <item m="1" x="2140"/>
        <item m="1" x="1823"/>
        <item m="1" x="70"/>
        <item m="1" x="1476"/>
        <item m="1" x="2381"/>
        <item m="1" x="1646"/>
        <item m="1" x="1790"/>
        <item m="1" x="582"/>
        <item m="1" x="1913"/>
        <item m="1" x="990"/>
        <item m="1" x="2205"/>
        <item m="1" x="1166"/>
        <item m="1" x="2627"/>
        <item m="1" x="2310"/>
        <item m="1" x="160"/>
        <item m="1" x="1769"/>
        <item m="1" x="617"/>
        <item m="1" x="1717"/>
        <item m="1" x="1495"/>
        <item m="1" x="462"/>
        <item m="1" x="2512"/>
        <item m="1" x="2035"/>
        <item m="1" x="2218"/>
        <item m="1" x="2093"/>
        <item m="1" x="1705"/>
        <item m="1" x="1173"/>
        <item m="1" x="1851"/>
        <item m="1" x="1926"/>
        <item m="1" x="897"/>
        <item m="1" x="1310"/>
        <item m="1" x="364"/>
        <item m="1" x="2450"/>
        <item m="1" x="461"/>
        <item m="1" x="272"/>
        <item m="1" x="9"/>
        <item m="1" x="2312"/>
        <item m="1" x="1950"/>
        <item m="1" x="1436"/>
        <item m="1" x="2132"/>
        <item m="1" x="1033"/>
        <item m="1" x="1240"/>
        <item m="1" x="591"/>
        <item m="1" x="2396"/>
        <item m="1" x="1660"/>
        <item m="1" x="406"/>
        <item m="1" x="278"/>
        <item m="1" x="712"/>
        <item m="1" x="627"/>
        <item m="1" x="1399"/>
        <item m="1" x="1581"/>
        <item m="1" x="883"/>
        <item m="1" x="1765"/>
        <item m="1" x="1724"/>
        <item m="1" x="1142"/>
        <item m="1" x="971"/>
        <item m="1" x="1218"/>
        <item m="1" x="672"/>
        <item m="1" x="197"/>
        <item m="1" x="382"/>
        <item m="1" x="1725"/>
        <item m="1" x="1889"/>
        <item m="1" x="416"/>
        <item m="1" x="1617"/>
        <item m="1" x="2581"/>
        <item m="1" x="116"/>
        <item m="1" x="584"/>
        <item m="1" x="1364"/>
        <item m="1" x="237"/>
        <item m="1" x="206"/>
        <item m="1" x="611"/>
        <item m="1" x="2001"/>
        <item m="1" x="2079"/>
        <item m="1" x="1816"/>
        <item m="1" x="661"/>
        <item m="1" x="1518"/>
        <item m="1" x="1207"/>
        <item m="1" x="1176"/>
        <item m="1" x="387"/>
        <item m="1" x="2143"/>
        <item m="1" x="1870"/>
        <item m="1" x="907"/>
        <item m="1" x="2069"/>
        <item m="1" x="1366"/>
        <item m="1" x="2376"/>
        <item m="1" x="2007"/>
        <item m="1" x="2369"/>
        <item m="1" x="784"/>
        <item m="1" x="566"/>
        <item m="1" x="2320"/>
        <item m="1" x="1668"/>
        <item m="1" x="1949"/>
        <item m="1" x="91"/>
        <item m="1" x="1854"/>
        <item m="1" x="721"/>
        <item m="1" x="355"/>
        <item m="1" x="736"/>
        <item m="1" x="1501"/>
        <item m="1" x="215"/>
        <item m="1" x="1600"/>
        <item m="1" x="768"/>
        <item m="1" x="201"/>
        <item m="1" x="613"/>
        <item m="1" x="1872"/>
        <item m="1" x="1578"/>
        <item m="1" x="849"/>
        <item m="1" x="2070"/>
        <item m="1" x="2439"/>
        <item m="1" x="403"/>
        <item m="1" x="1193"/>
        <item m="1" x="2023"/>
        <item m="1" x="2242"/>
        <item m="1" x="49"/>
        <item m="1" x="1754"/>
        <item m="1" x="2230"/>
        <item m="1" x="1044"/>
        <item m="1" x="1269"/>
        <item m="1" x="1055"/>
        <item m="1" x="1815"/>
        <item m="1" x="687"/>
        <item m="1" x="2527"/>
        <item m="1" x="2595"/>
        <item m="1" x="1801"/>
        <item m="1" x="155"/>
        <item m="1" x="2186"/>
        <item m="1" x="2236"/>
        <item m="1" x="2495"/>
        <item m="1" x="1582"/>
        <item m="1" x="839"/>
        <item m="1" x="2460"/>
        <item m="1" x="2543"/>
        <item m="1" x="2472"/>
        <item m="1" x="55"/>
        <item m="1" x="1078"/>
        <item m="1" x="149"/>
        <item m="1" x="1288"/>
        <item m="1" x="2191"/>
        <item m="1" x="2139"/>
        <item m="1" x="38"/>
        <item m="1" x="2501"/>
        <item m="1" x="765"/>
        <item m="1" x="1111"/>
        <item m="1" x="247"/>
        <item m="1" x="371"/>
        <item m="1" x="899"/>
        <item m="1" x="534"/>
        <item m="1" x="2032"/>
        <item m="1" x="793"/>
        <item m="1" x="2086"/>
        <item m="1" x="1011"/>
        <item m="1" x="1077"/>
        <item m="1" x="2265"/>
        <item m="1" x="1338"/>
        <item m="1" x="1053"/>
        <item m="1" x="653"/>
        <item m="1" x="1525"/>
        <item m="1" x="829"/>
        <item m="1" x="1919"/>
        <item m="1" x="655"/>
        <item m="1" x="104"/>
        <item m="1" x="693"/>
        <item m="1" x="1652"/>
        <item m="1" x="1953"/>
        <item m="1" x="1298"/>
        <item m="1" x="1513"/>
        <item m="1" x="2399"/>
        <item m="1" x="686"/>
        <item m="1" x="2245"/>
        <item m="1" x="1900"/>
        <item m="1" x="1698"/>
        <item m="1" x="841"/>
        <item m="1" x="1594"/>
        <item m="1" x="1612"/>
        <item m="1" x="1575"/>
        <item m="1" x="595"/>
        <item m="1" x="1484"/>
        <item m="1" x="1791"/>
        <item m="1" x="2179"/>
        <item m="1" x="1673"/>
        <item m="1" x="976"/>
        <item m="1" x="162"/>
        <item m="1" x="1978"/>
        <item m="1" x="157"/>
        <item m="1" x="1072"/>
        <item m="1" x="2052"/>
        <item m="1" x="346"/>
        <item m="1" x="856"/>
        <item m="1" x="2261"/>
        <item m="1" x="2352"/>
        <item m="1" x="912"/>
        <item m="1" x="275"/>
        <item m="1" x="150"/>
        <item m="1" x="1503"/>
        <item m="1" x="1914"/>
        <item m="1" x="1249"/>
        <item m="1" x="930"/>
        <item m="1" x="1081"/>
        <item m="1" x="1041"/>
        <item m="1" x="2034"/>
        <item m="1" x="378"/>
        <item m="1" x="1767"/>
        <item m="1" x="2213"/>
        <item m="1" x="2456"/>
        <item m="1" x="748"/>
        <item m="1" x="451"/>
        <item m="1" x="120"/>
        <item m="1" x="2373"/>
        <item m="1" x="2418"/>
        <item m="1" x="2476"/>
        <item m="1" x="478"/>
        <item m="1" x="1946"/>
        <item m="1" x="2119"/>
        <item m="1" x="1315"/>
        <item m="1" x="324"/>
        <item m="1" x="1709"/>
        <item m="1" x="186"/>
        <item m="1" x="1761"/>
        <item m="1" x="481"/>
        <item m="1" x="916"/>
        <item m="1" x="667"/>
        <item m="1" x="1342"/>
        <item m="1" x="139"/>
        <item m="1" x="2267"/>
        <item m="1" x="1016"/>
        <item m="1" x="1299"/>
        <item m="1" x="1832"/>
        <item m="1" x="1759"/>
        <item m="1" x="1371"/>
        <item m="1" x="2327"/>
        <item m="1" x="2606"/>
        <item m="1" x="764"/>
        <item m="1" x="995"/>
        <item m="1" x="719"/>
        <item m="1" x="220"/>
        <item m="1" x="2338"/>
        <item m="1" x="596"/>
        <item m="1" x="1037"/>
        <item m="1" x="843"/>
        <item m="1" x="863"/>
        <item m="1" x="1746"/>
        <item m="1" x="1845"/>
        <item m="1" x="1772"/>
        <item m="1" x="853"/>
        <item m="1" x="2118"/>
        <item m="1" x="787"/>
        <item m="1" x="756"/>
        <item m="1" x="359"/>
        <item m="1" x="2412"/>
        <item m="1" x="1553"/>
        <item m="1" x="569"/>
        <item m="1" x="1145"/>
        <item m="1" x="1972"/>
        <item m="1" x="1467"/>
        <item m="1" x="1425"/>
        <item m="1" x="178"/>
        <item m="1" x="1605"/>
        <item m="1" x="1929"/>
        <item m="1" x="1878"/>
        <item m="1" x="968"/>
        <item m="1" x="1974"/>
        <item m="1" x="1034"/>
        <item m="1" x="1136"/>
        <item m="1" x="477"/>
        <item m="1" x="1571"/>
        <item m="1" x="2209"/>
        <item m="1" x="2196"/>
        <item m="1" x="256"/>
        <item m="1" x="609"/>
        <item m="1" x="1614"/>
        <item m="1" x="707"/>
        <item m="1" x="1158"/>
        <item m="1" x="1493"/>
        <item m="1" x="2235"/>
        <item m="1" x="2454"/>
        <item m="1" x="23"/>
        <item m="1" x="287"/>
        <item m="1" x="579"/>
        <item m="1" x="904"/>
        <item m="1" x="2030"/>
        <item m="1" x="1918"/>
        <item m="1" x="2499"/>
        <item m="1" x="854"/>
        <item m="1" x="2210"/>
        <item m="1" x="720"/>
        <item m="1" x="1052"/>
        <item m="1" x="731"/>
        <item m="1" x="1416"/>
        <item m="1" x="2224"/>
        <item m="1" x="1812"/>
        <item m="1" x="1551"/>
        <item m="1" x="1560"/>
        <item m="1" x="1720"/>
        <item m="1" x="2137"/>
        <item m="1" x="165"/>
        <item m="1" x="1979"/>
        <item m="1" x="2531"/>
        <item m="1" x="555"/>
        <item m="1" x="1675"/>
        <item m="1" x="2215"/>
        <item m="1" x="1370"/>
        <item m="1" x="1921"/>
        <item m="1" x="1663"/>
        <item m="1" x="1124"/>
        <item m="1" x="2547"/>
        <item m="1" x="2182"/>
        <item m="1" x="2421"/>
        <item m="1" x="1512"/>
        <item m="1" x="2039"/>
        <item m="1" x="71"/>
        <item m="1" x="1096"/>
        <item m="1" x="746"/>
        <item m="1" x="790"/>
        <item m="1" x="2432"/>
        <item m="1" x="635"/>
        <item m="1" x="1951"/>
        <item m="1" x="1276"/>
        <item m="1" x="137"/>
        <item m="1" x="1882"/>
        <item m="1" x="187"/>
        <item m="1" x="1751"/>
        <item m="1" x="57"/>
        <item m="1" x="576"/>
        <item m="1" x="857"/>
        <item m="1" x="775"/>
        <item m="1" x="1174"/>
        <item m="1" x="208"/>
        <item m="1" x="1639"/>
        <item m="1" x="977"/>
        <item m="1" x="243"/>
        <item m="1" x="1461"/>
        <item m="1" x="262"/>
        <item m="1" x="950"/>
        <item m="1" x="2336"/>
        <item m="1" x="796"/>
        <item m="1" x="2122"/>
        <item m="1" x="307"/>
        <item m="1" x="1988"/>
        <item m="1" x="1565"/>
        <item m="1" x="144"/>
        <item m="1" x="1200"/>
        <item m="1" x="2410"/>
        <item m="1" x="996"/>
        <item m="1" x="967"/>
        <item m="1" x="2551"/>
        <item m="1" x="2274"/>
        <item m="1" x="1898"/>
        <item m="1" x="779"/>
        <item m="1" x="2318"/>
        <item m="1" x="517"/>
        <item m="1" x="316"/>
        <item m="1" x="1628"/>
        <item m="1" x="2062"/>
        <item m="1" x="1168"/>
        <item m="1" x="2319"/>
        <item m="1" x="823"/>
        <item m="1" x="842"/>
        <item m="1" x="1221"/>
        <item m="1" x="2293"/>
        <item m="1" x="1508"/>
        <item m="1" x="452"/>
        <item m="1" x="508"/>
        <item m="1" x="1852"/>
        <item m="1" x="1212"/>
        <item m="1" x="2288"/>
        <item m="1" x="170"/>
        <item m="1" x="2608"/>
        <item m="1" x="946"/>
        <item m="1" x="2389"/>
        <item m="1" x="1743"/>
        <item m="1" x="1402"/>
        <item m="1" x="2126"/>
        <item m="1" x="648"/>
        <item m="1" x="2519"/>
        <item m="1" x="1202"/>
        <item m="1" x="521"/>
        <item m="1" x="1635"/>
        <item m="1" x="645"/>
        <item m="1" x="79"/>
        <item m="1" x="2363"/>
        <item m="1" x="1916"/>
        <item m="1" x="1764"/>
        <item m="1" x="847"/>
        <item m="1" x="567"/>
        <item m="1" x="1355"/>
        <item m="1" x="2535"/>
        <item m="1" x="2241"/>
        <item m="1" x="1611"/>
        <item m="1" x="1984"/>
        <item m="1" x="2109"/>
        <item m="1" x="772"/>
        <item m="1" x="1776"/>
        <item m="1" x="1357"/>
        <item m="1" x="1459"/>
        <item m="1" x="1517"/>
        <item m="1" x="497"/>
        <item m="1" x="2043"/>
        <item m="1" x="138"/>
        <item m="1" x="1192"/>
        <item m="1" x="202"/>
        <item m="1" x="2587"/>
        <item m="1" x="2452"/>
        <item m="1" x="2544"/>
        <item m="1" x="255"/>
        <item m="1" x="2313"/>
        <item m="1" x="2290"/>
        <item m="1" x="107"/>
        <item m="1" x="310"/>
        <item m="1" x="1540"/>
        <item m="1" x="2163"/>
        <item m="1" x="298"/>
        <item m="1" x="53"/>
        <item m="1" x="1552"/>
        <item m="1" x="1997"/>
        <item m="1" x="445"/>
        <item m="1" x="345"/>
        <item m="1" x="1794"/>
        <item m="1" x="2611"/>
        <item m="1" x="553"/>
        <item m="1" x="815"/>
        <item m="1" x="2588"/>
        <item m="1" x="1012"/>
        <item m="1" x="2097"/>
        <item m="1" x="2317"/>
        <item m="1" x="2339"/>
        <item m="1" x="2232"/>
        <item m="1" x="1566"/>
        <item m="1" x="473"/>
        <item m="1" x="824"/>
        <item m="1" x="2552"/>
        <item m="1" x="532"/>
        <item m="1" x="2431"/>
        <item m="1" x="571"/>
        <item m="1" x="1067"/>
        <item m="1" x="1388"/>
        <item m="1" x="2566"/>
        <item m="1" x="125"/>
        <item m="1" x="493"/>
        <item m="1" x="733"/>
        <item m="1" x="196"/>
        <item m="1" x="1346"/>
        <item m="1" x="1172"/>
        <item m="1" x="440"/>
        <item m="1" x="2262"/>
        <item m="1" x="327"/>
        <item m="1" x="1255"/>
        <item m="1" x="108"/>
        <item m="1" x="694"/>
        <item m="1" x="1401"/>
        <item m="1" x="2131"/>
        <item m="1" x="1029"/>
        <item m="1" x="2047"/>
        <item m="1" x="1404"/>
        <item m="1" x="2291"/>
        <item m="1" x="2411"/>
        <item m="1" x="474"/>
        <item m="1" x="1905"/>
        <item m="1" x="135"/>
        <item m="1" x="1697"/>
        <item m="1" x="1928"/>
        <item m="1" x="1480"/>
        <item m="1" x="862"/>
        <item m="1" x="1426"/>
        <item m="1" x="1340"/>
        <item m="1" x="2593"/>
        <item m="1" x="616"/>
        <item m="1" x="662"/>
        <item m="1" x="1169"/>
        <item m="1" x="318"/>
        <item m="1" x="2600"/>
        <item m="1" x="1676"/>
        <item m="1" x="1351"/>
        <item m="1" x="729"/>
        <item m="1" x="32"/>
        <item m="1" x="1270"/>
        <item m="1" x="1481"/>
        <item m="1" x="1188"/>
        <item m="1" x="2178"/>
        <item m="1" x="2046"/>
        <item m="1" x="1887"/>
        <item m="1" x="1564"/>
        <item m="1" x="1755"/>
        <item m="1" x="2189"/>
        <item m="1" x="711"/>
        <item m="1" x="1417"/>
        <item m="1" x="2624"/>
        <item m="1" x="1304"/>
        <item m="1" x="2401"/>
        <item m="1" x="2451"/>
        <item m="1" x="1912"/>
        <item m="1" x="1407"/>
        <item m="1" x="915"/>
        <item m="1" x="2479"/>
        <item m="1" x="830"/>
        <item m="1" x="2212"/>
        <item m="1" x="722"/>
        <item m="1" x="1066"/>
        <item m="1" x="1308"/>
        <item m="1" x="918"/>
        <item m="1" x="1488"/>
        <item m="1" x="472"/>
        <item m="1" x="1586"/>
        <item m="1" x="225"/>
        <item m="1" x="204"/>
        <item m="1" x="1378"/>
        <item m="1" x="1121"/>
        <item m="1" x="997"/>
        <item m="1" x="1035"/>
        <item m="1" x="2263"/>
        <item m="1" x="962"/>
        <item m="1" x="1809"/>
        <item m="1" x="2174"/>
        <item m="1" x="1347"/>
        <item m="1" x="1956"/>
        <item m="1" x="2145"/>
        <item m="1" x="2322"/>
        <item m="1" x="1876"/>
        <item m="1" x="1632"/>
        <item m="1" x="446"/>
        <item m="1" x="2306"/>
        <item m="1" x="114"/>
        <item m="1" x="1853"/>
        <item m="1" x="276"/>
        <item m="1" x="1265"/>
        <item m="1" x="143"/>
        <item m="1" x="476"/>
        <item m="1" x="2307"/>
        <item m="1" x="805"/>
        <item m="1" x="1655"/>
        <item m="1" x="894"/>
        <item m="1" x="1362"/>
        <item m="1" x="2012"/>
        <item m="1" x="1712"/>
        <item m="1" x="315"/>
        <item m="1" x="2614"/>
        <item m="1" x="754"/>
        <item m="1" x="2518"/>
        <item m="1" x="993"/>
        <item m="1" x="1818"/>
        <item m="1" x="2025"/>
        <item m="1" x="919"/>
        <item m="1" x="563"/>
        <item m="1" x="46"/>
        <item m="1" x="185"/>
        <item m="1" x="2521"/>
        <item m="1" x="1442"/>
        <item m="1" x="490"/>
        <item m="1" x="1572"/>
        <item m="1" x="2486"/>
        <item m="1" x="1332"/>
        <item m="1" x="1799"/>
        <item m="1" x="726"/>
        <item m="1" x="1739"/>
        <item m="1" x="890"/>
        <item m="1" x="2237"/>
        <item m="1" x="1523"/>
        <item m="1" x="98"/>
        <item m="1" x="77"/>
        <item m="1" x="795"/>
        <item m="1" x="1644"/>
        <item m="1" x="531"/>
        <item m="1" x="2299"/>
        <item m="1" x="1756"/>
        <item m="1" x="433"/>
        <item m="1" x="1516"/>
        <item m="1" x="855"/>
        <item m="1" x="2082"/>
        <item m="1" x="2154"/>
        <item m="1" x="1021"/>
        <item m="1" x="2158"/>
        <item m="1" x="1841"/>
        <item m="1" x="432"/>
        <item m="1" x="638"/>
        <item m="1" x="1595"/>
        <item m="1" x="1838"/>
        <item m="1" x="1964"/>
        <item m="1" x="2457"/>
        <item m="1" x="2090"/>
        <item m="1" x="1806"/>
        <item m="1" x="2617"/>
        <item m="1" x="2496"/>
        <item m="1" x="628"/>
        <item m="1" x="1284"/>
        <item m="1" x="1828"/>
        <item m="1" x="911"/>
        <item m="1" x="1048"/>
        <item m="1" x="1050"/>
        <item m="1" x="59"/>
        <item m="1" x="524"/>
        <item m="1" x="2475"/>
        <item m="1" x="74"/>
        <item m="1" x="1557"/>
        <item m="1" x="1519"/>
        <item m="1" x="1162"/>
        <item m="1" x="1448"/>
        <item m="1" x="1658"/>
        <item m="1" x="2142"/>
        <item m="1" x="2463"/>
        <item m="1" x="2541"/>
        <item m="1" x="2354"/>
        <item m="1" x="41"/>
        <item m="1" x="169"/>
        <item m="1" x="1031"/>
        <item m="1" x="1554"/>
        <item m="1" x="1449"/>
        <item m="1" x="688"/>
        <item m="1" x="2295"/>
        <item m="1" x="2526"/>
        <item m="1" x="2106"/>
        <item m="1" x="1036"/>
        <item m="1" x="417"/>
        <item m="1" x="485"/>
        <item m="1" x="2297"/>
        <item m="1" x="2296"/>
        <item m="1" x="2428"/>
        <item m="1" x="308"/>
        <item m="1" x="2013"/>
        <item m="1" x="1779"/>
        <item m="1" x="1247"/>
        <item m="1" x="68"/>
        <item m="1" x="944"/>
        <item m="1" x="122"/>
        <item m="1" x="2010"/>
        <item m="1" x="2481"/>
        <item m="1" x="636"/>
        <item m="1" x="2161"/>
        <item m="1" x="807"/>
        <item m="1" x="12"/>
        <item m="1" x="1986"/>
        <item m="1" x="1537"/>
        <item m="1" x="291"/>
        <item m="1" x="292"/>
        <item m="1" x="2324"/>
        <item m="1" x="90"/>
        <item m="1" x="1049"/>
        <item m="1" x="1704"/>
        <item m="1" x="803"/>
        <item m="1" x="2419"/>
        <item m="1" x="2424"/>
        <item m="1" x="1126"/>
        <item m="1" x="1977"/>
        <item m="1" x="1118"/>
        <item m="1" x="948"/>
        <item m="1" x="691"/>
        <item m="1" x="604"/>
        <item m="1" x="554"/>
        <item m="1" x="1934"/>
        <item m="1" x="317"/>
        <item m="1" x="953"/>
        <item m="1" x="1549"/>
        <item m="1" x="228"/>
        <item m="1" x="1430"/>
        <item m="1" x="1819"/>
        <item m="1" x="263"/>
        <item m="1" x="112"/>
        <item m="1" x="869"/>
        <item m="1" x="2631"/>
        <item m="1" x="2051"/>
        <item m="1" x="2453"/>
        <item m="1" x="1708"/>
        <item m="1" x="1631"/>
        <item m="1" x="1795"/>
        <item m="1" x="93"/>
        <item m="1" x="802"/>
        <item m="1" x="1733"/>
        <item m="1" x="376"/>
        <item m="1" x="2264"/>
        <item m="1" x="1108"/>
        <item m="1" x="1435"/>
        <item m="1" x="827"/>
        <item m="1" x="1987"/>
        <item m="1" x="1873"/>
        <item m="1" x="2458"/>
        <item m="1" x="2045"/>
        <item m="1" x="2185"/>
        <item m="1" x="1286"/>
        <item m="1" x="393"/>
        <item m="1" x="2520"/>
        <item m="1" x="92"/>
        <item m="1" x="2200"/>
        <item m="1" x="22"/>
        <item m="1" x="2351"/>
        <item m="1" x="681"/>
        <item m="1" x="2426"/>
        <item m="1" x="2565"/>
        <item m="1" x="2225"/>
        <item m="1" x="510"/>
        <item m="1" x="1102"/>
        <item m="1" x="699"/>
        <item m="1" x="1306"/>
        <item m="1" x="1556"/>
        <item m="1" x="10"/>
        <item m="1" x="983"/>
        <item m="1" x="1414"/>
        <item m="1" x="51"/>
        <item m="1" x="1558"/>
        <item m="1" x="483"/>
        <item m="1" x="2088"/>
        <item m="1" x="421"/>
        <item m="1" x="1181"/>
        <item m="1" x="501"/>
        <item m="1" x="2258"/>
        <item m="1" x="1930"/>
        <item m="1" x="1028"/>
        <item m="1" x="28"/>
        <item m="1" x="1629"/>
        <item m="1" x="1004"/>
        <item m="1" x="1183"/>
        <item m="1" x="1241"/>
        <item m="1" x="804"/>
        <item m="1" x="259"/>
        <item m="1" x="852"/>
        <item m="1" x="88"/>
        <item m="1" x="132"/>
        <item m="1" x="1184"/>
        <item m="1" x="989"/>
        <item m="1" x="1322"/>
        <item m="1" x="1137"/>
        <item m="1" x="2462"/>
        <item m="1" x="414"/>
        <item m="1" x="2537"/>
        <item m="1" x="336"/>
        <item m="1" x="1893"/>
        <item m="1" x="1990"/>
        <item m="1" x="723"/>
        <item m="1" x="1009"/>
        <item m="1" x="1057"/>
        <item m="1" x="1456"/>
        <item m="1" x="2367"/>
        <item m="1" x="2435"/>
        <item m="1" x="1411"/>
        <item m="1" x="730"/>
        <item m="1" x="188"/>
        <item m="1" x="2004"/>
        <item m="1" x="1454"/>
        <item m="1" x="762"/>
        <item m="1" x="1447"/>
        <item m="1" x="1982"/>
        <item m="1" x="301"/>
        <item m="1" x="1040"/>
        <item m="1" x="1466"/>
        <item m="1" x="900"/>
        <item m="1" x="1301"/>
        <item m="1" x="1386"/>
        <item m="1" x="895"/>
        <item m="1" x="2445"/>
        <item m="1" x="927"/>
        <item m="1" x="808"/>
        <item m="1" x="271"/>
        <item m="1" x="2620"/>
        <item m="1" x="1657"/>
        <item m="1" x="1904"/>
        <item m="1" x="1452"/>
        <item m="1" x="1588"/>
        <item m="1" x="467"/>
        <item m="1" x="273"/>
        <item m="1" x="898"/>
        <item m="1" x="637"/>
        <item m="1" x="195"/>
        <item m="1" x="2511"/>
        <item m="1" x="343"/>
        <item m="1" x="607"/>
        <item m="1" x="1522"/>
        <item m="1" x="1260"/>
        <item m="1" x="2616"/>
        <item m="1" x="2271"/>
        <item m="1" x="249"/>
        <item m="1" x="2441"/>
        <item m="1" x="1580"/>
        <item m="1" x="549"/>
        <item m="1" x="942"/>
        <item m="1" x="1023"/>
        <item m="1" x="1303"/>
        <item m="1" x="1256"/>
        <item m="1" x="377"/>
        <item m="1" x="130"/>
        <item m="1" x="454"/>
        <item m="1" x="1917"/>
        <item m="1" x="1167"/>
        <item m="1" x="1831"/>
        <item m="1" x="1300"/>
        <item m="1" x="1421"/>
        <item m="1" x="413"/>
        <item m="1" x="633"/>
        <item m="1" x="1507"/>
        <item m="1" x="424"/>
        <item m="1" x="1678"/>
        <item m="1" x="767"/>
        <item m="1" x="2231"/>
        <item m="1" x="458"/>
        <item m="1" x="982"/>
        <item m="1" x="2277"/>
        <item m="1" x="281"/>
        <item m="1" x="2105"/>
        <item m="1" x="575"/>
        <item m="1" x="660"/>
        <item m="1" x="858"/>
        <item m="1" x="2420"/>
        <item m="1" x="444"/>
        <item m="1" x="1463"/>
        <item m="1" x="2370"/>
        <item m="1" x="110"/>
        <item m="1" x="2281"/>
        <item m="1" x="2433"/>
        <item m="1" x="2314"/>
        <item m="1" x="514"/>
        <item m="1" x="166"/>
        <item m="1" x="889"/>
        <item m="1" x="1197"/>
        <item m="1" x="491"/>
        <item m="1" x="773"/>
        <item m="1" x="2011"/>
        <item m="1" x="1524"/>
        <item m="1" x="2073"/>
        <item m="1" x="2630"/>
        <item m="1" x="1398"/>
        <item m="1" x="330"/>
        <item m="1" x="2482"/>
        <item m="1" x="1465"/>
        <item m="1" x="882"/>
        <item m="1" x="1596"/>
        <item m="1" x="1350"/>
        <item m="1" x="1122"/>
        <item m="1" x="145"/>
        <item m="1" x="618"/>
        <item m="1" x="482"/>
        <item m="1" x="2538"/>
        <item m="1" x="1334"/>
        <item m="1" x="1019"/>
        <item m="1" x="44"/>
        <item m="1" x="822"/>
        <item m="1" x="2556"/>
        <item m="1" x="1844"/>
        <item m="1" x="1042"/>
        <item m="1" x="434"/>
        <item m="1" x="392"/>
        <item m="1" x="674"/>
        <item m="1" x="1601"/>
        <item m="1" x="620"/>
        <item m="1" x="504"/>
        <item m="1" x="2553"/>
        <item m="1" x="1474"/>
        <item m="1" x="2534"/>
        <item m="1" x="1208"/>
        <item m="1" x="1177"/>
        <item m="1" x="957"/>
        <item m="1" x="819"/>
        <item m="1" x="1860"/>
        <item m="1" x="2147"/>
        <item m="1" x="1415"/>
        <item m="1" x="2269"/>
        <item m="1" x="16"/>
        <item m="1" x="199"/>
        <item m="1" x="2628"/>
        <item m="1" x="464"/>
        <item m="1" x="73"/>
        <item m="1" x="737"/>
        <item m="1" x="766"/>
        <item m="1" x="2466"/>
        <item m="1" x="2301"/>
        <item m="1" x="2063"/>
        <item m="1" x="2598"/>
        <item m="1" x="1290"/>
        <item m="1" x="2504"/>
        <item m="1" x="2234"/>
        <item m="1" x="1834"/>
        <item m="1" x="1662"/>
        <item m="1" x="1451"/>
        <item m="1" x="348"/>
        <item m="1" x="1069"/>
        <item m="1" x="325"/>
        <item m="1" x="1747"/>
        <item m="1" x="1391"/>
        <item m="1" x="2393"/>
        <item m="1" x="300"/>
        <item m="1" x="1701"/>
        <item m="1" x="1637"/>
        <item m="1" x="341"/>
        <item m="1" x="2497"/>
        <item m="1" x="184"/>
        <item m="1" x="329"/>
        <item m="1" x="2480"/>
        <item m="1" x="487"/>
        <item m="1" x="522"/>
        <item m="1" x="2015"/>
        <item m="1" x="590"/>
        <item m="1" x="695"/>
        <item m="1" x="331"/>
        <item m="1" x="986"/>
        <item m="1" x="2403"/>
        <item m="1" x="1305"/>
        <item m="1" x="846"/>
        <item m="1" x="2021"/>
        <item m="1" x="1497"/>
        <item m="1" x="1135"/>
        <item m="1" x="419"/>
        <item m="1" x="1992"/>
        <item m="1" x="1999"/>
        <item m="1" x="442"/>
        <item m="1" x="1313"/>
        <item m="1" x="118"/>
        <item m="1" x="1884"/>
        <item m="1" x="2164"/>
        <item m="1" x="2564"/>
        <item m="1" x="1721"/>
        <item m="1" x="2448"/>
        <item m="1" x="2024"/>
        <item m="1" x="2207"/>
        <item m="1" x="2053"/>
        <item m="1" x="2188"/>
        <item m="1" x="585"/>
        <item m="1" x="1952"/>
        <item m="1" x="1909"/>
        <item m="1" x="1810"/>
        <item m="1" x="1651"/>
        <item m="1" x="236"/>
        <item m="1" x="1846"/>
        <item m="1" x="1287"/>
        <item m="1" x="2202"/>
        <item m="1" x="2510"/>
        <item m="1" x="2009"/>
        <item m="1" x="706"/>
        <item m="1" x="297"/>
        <item m="1" x="1714"/>
        <item m="1" x="1957"/>
        <item m="1" x="1453"/>
        <item m="1" x="113"/>
        <item m="1" x="2574"/>
        <item m="1" x="2153"/>
        <item m="1" x="1092"/>
        <item m="1" x="1843"/>
        <item m="1" x="1741"/>
        <item m="1" x="460"/>
        <item m="1" x="1133"/>
        <item m="1" x="2113"/>
        <item m="1" x="1529"/>
        <item m="1" x="1348"/>
        <item m="1" x="1317"/>
        <item m="1" x="2257"/>
        <item m="1" x="1059"/>
        <item m="1" x="1128"/>
        <item m="1" x="1343"/>
        <item m="1" x="320"/>
        <item m="1" x="1326"/>
        <item m="1" x="934"/>
        <item m="1" x="1915"/>
        <item m="1" x="177"/>
        <item m="1" x="1243"/>
        <item m="1" x="1568"/>
        <item m="1" x="670"/>
        <item m="1" x="1224"/>
        <item m="1" x="1749"/>
        <item m="1" x="328"/>
        <item m="1" x="2239"/>
        <item m="1" x="2197"/>
        <item m="1" x="2076"/>
        <item m="1" x="1423"/>
        <item m="1" x="1548"/>
        <item m="1" x="466"/>
        <item m="1" x="1100"/>
        <item m="1" x="2167"/>
        <item m="1" x="2068"/>
        <item m="1" x="833"/>
        <item m="1" x="356"/>
        <item m="1" x="2332"/>
        <item m="1" x="2325"/>
        <item m="1" x="407"/>
        <item m="1" x="1687"/>
        <item m="1" x="2563"/>
        <item m="1" x="140"/>
        <item m="1" x="1630"/>
        <item m="1" x="1285"/>
        <item m="1" x="2487"/>
        <item m="1" x="351"/>
        <item m="1" x="2002"/>
        <item m="1" x="109"/>
        <item m="1" x="1409"/>
        <item m="1" x="1674"/>
        <item m="1" x="380"/>
        <item m="1" x="1390"/>
        <item m="1" x="288"/>
        <item m="1" x="1811"/>
        <item m="1" x="966"/>
        <item m="1" x="2594"/>
        <item m="1" x="172"/>
        <item m="1" x="2058"/>
        <item m="1" x="2276"/>
        <item m="1" x="1020"/>
        <item m="1" x="939"/>
        <item m="1" x="2592"/>
        <item m="1" x="1718"/>
        <item m="1" x="1762"/>
        <item m="1" x="685"/>
        <item m="1" x="710"/>
        <item m="1" x="1254"/>
        <item m="1" x="1095"/>
        <item m="1" x="76"/>
        <item m="1" x="314"/>
        <item m="1" x="2502"/>
        <item m="1" x="718"/>
        <item m="1" x="1888"/>
        <item m="1" x="1862"/>
        <item m="1" x="1775"/>
        <item m="1" x="2542"/>
        <item m="1" x="1833"/>
        <item m="1" x="1191"/>
        <item m="1" x="234"/>
        <item m="1" x="1642"/>
        <item m="1" x="33"/>
        <item m="1" x="1054"/>
        <item m="1" x="2085"/>
        <item m="1" x="574"/>
        <item m="1" x="1528"/>
        <item m="1" x="560"/>
        <item m="1" x="2311"/>
        <item m="1" x="423"/>
        <item m="1" x="1116"/>
        <item m="1" x="564"/>
        <item m="1" x="2494"/>
        <item m="1" x="1604"/>
        <item m="1" x="17"/>
        <item m="1" x="217"/>
        <item m="1" x="2250"/>
        <item m="1" x="405"/>
        <item m="1" x="305"/>
        <item m="1" x="2019"/>
        <item m="1" x="2465"/>
        <item m="1" x="1840"/>
        <item m="1" x="1383"/>
        <item m="1" x="1365"/>
        <item m="1" x="2385"/>
        <item m="1" x="1109"/>
        <item m="1" x="339"/>
        <item m="1" x="2077"/>
        <item m="1" x="2129"/>
        <item m="1" x="1045"/>
        <item m="1" x="83"/>
        <item m="1" x="606"/>
        <item m="1" x="1205"/>
        <item m="1" x="2162"/>
        <item m="1" x="1885"/>
        <item m="1" x="2110"/>
        <item m="1" x="2095"/>
        <item m="1" x="1112"/>
        <item m="1" x="1911"/>
        <item m="1" x="2266"/>
        <item m="1" x="2378"/>
        <item m="1" x="2321"/>
        <item m="1" x="2074"/>
        <item m="1" x="1742"/>
        <item m="1" x="840"/>
        <item x="0"/>
        <item x="1"/>
        <item x="2"/>
        <item x="3"/>
        <item x="5"/>
        <item x="7"/>
        <item x="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</pivotFields>
  <rowFields count="2">
    <field x="0"/>
    <field x="2"/>
  </rowFields>
  <rowItems count="3">
    <i>
      <x v="3"/>
      <x v="2630"/>
    </i>
    <i>
      <x v="11"/>
      <x v="2631"/>
    </i>
    <i t="grand">
      <x/>
    </i>
  </rowItems>
  <colFields count="1">
    <field x="-2"/>
  </colFields>
  <colItems count="2">
    <i>
      <x/>
    </i>
    <i i="1">
      <x v="1"/>
    </i>
  </colItems>
  <dataFields count="2">
    <dataField name="Capacity   " fld="8" baseField="0" baseItem="1"/>
    <dataField name="Occupancy  " fld="1" baseField="2" baseItem="150"/>
  </dataFields>
  <chartFormats count="68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9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3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4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4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2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2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2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2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2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2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2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2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7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7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6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6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6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6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6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6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7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7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7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7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7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7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7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7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8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8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8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8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8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8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8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8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9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9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9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9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9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9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0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0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0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0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0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0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1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1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1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1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1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1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1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1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2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2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2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2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2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2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3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3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3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3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3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3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4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4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4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4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4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4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4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4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4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4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5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5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5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5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5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5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5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5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6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6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6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6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6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6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6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6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7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7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7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7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7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7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7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7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7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7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8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8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8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8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9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9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9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9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9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9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9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9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0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0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0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0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1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1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1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11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1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1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1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1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2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2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2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2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2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2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2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2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4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4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4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41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4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4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4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4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5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5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5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5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6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6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6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6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7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7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7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7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7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7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8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8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8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8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8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8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8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8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8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8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9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9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9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9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0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0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1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1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1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1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2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2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2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2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2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2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2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2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3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3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1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3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3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3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3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4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4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4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4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4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4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5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5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5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5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5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5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5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5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5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5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6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6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6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61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6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6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6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6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6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6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7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7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7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7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7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8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8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8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8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8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8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9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9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9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9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9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0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0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0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0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0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1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1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1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1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2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2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2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2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2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2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2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2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3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3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3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3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3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3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3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3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4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4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4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4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4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4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4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4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5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5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5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5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6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6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6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61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6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6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6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6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6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6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6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6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7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7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7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7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7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7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7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7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8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8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8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8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8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8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9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9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9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9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9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9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9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9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9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9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0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0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0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0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0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0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0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0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0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0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1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1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1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1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2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2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2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2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3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3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3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3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3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3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3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3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4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4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4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4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4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4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4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4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5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5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5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5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5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5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5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5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6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6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6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6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6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6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6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6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7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7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7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7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7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7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7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7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8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8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8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8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8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8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8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8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9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9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9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9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9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9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9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9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0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0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0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0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0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0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0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0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2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2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2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21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2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2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2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2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2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2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2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2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3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3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3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3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3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3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3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3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4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4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4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41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4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4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4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4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4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4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4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4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5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5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5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5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5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5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5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5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6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6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6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61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6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6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6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6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6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6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6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6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7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7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7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7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7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7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7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7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8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8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8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81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8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8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8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8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8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8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8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8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9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9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9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9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9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9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9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9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0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0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0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01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0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0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0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0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0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0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0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0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1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1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1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1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1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1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1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1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1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2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2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2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2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2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2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2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2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2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2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3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3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3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3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3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3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3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3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3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3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4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4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4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4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4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4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4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4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4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4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5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5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5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5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5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5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5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5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5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5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6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6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6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6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6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6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6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6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6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6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7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7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7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7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7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7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7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7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7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7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8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8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8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8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8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8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8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8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8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8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9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9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9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9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9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9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9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9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9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9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0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0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0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0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0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0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0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0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0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0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1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1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1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1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1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1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1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1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18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2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2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2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2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2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2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2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2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2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2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3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3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4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4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5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5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5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5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6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6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9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94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5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59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6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60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6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63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6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64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6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67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6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6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8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82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8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83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 chartFormat="22">
  <location ref="A3:E19" firstHeaderRow="0" firstDataRow="1" firstDataCol="1"/>
  <pivotFields count="5">
    <pivotField axis="axisRow" compact="0" numFmtId="14" outline="0" showAll="0" defaultSubtota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m="1" x="18"/>
        <item m="1" x="16"/>
        <item m="1" x="17"/>
        <item m="1" x="15"/>
        <item x="13"/>
      </items>
    </pivotField>
    <pivotField dataField="1" compact="0" numFmtId="1" outline="0" showAll="0" defaultSubtotal="0"/>
    <pivotField dataField="1" compact="0" numFmtId="1" outline="0" showAll="0" defaultSubtotal="0"/>
    <pivotField dataField="1" compact="0" outline="0" showAll="0" defaultSubtotal="0"/>
    <pivotField dataField="1" compact="0" outline="0" showAll="0" defaultSubtota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Nuge Rd" fld="2" baseField="0" baseItem="7"/>
    <dataField name=" EGF" fld="3" baseField="0" baseItem="7"/>
    <dataField name="Ja Ela  " fld="4" baseField="0" baseItem="7"/>
    <dataField name=" LPPL" fld="1" baseField="0" baseItem="7"/>
  </dataFields>
  <chartFormats count="6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6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7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8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9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4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5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6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7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8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9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0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1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2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3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4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5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6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7"/>
          </reference>
        </references>
      </pivotArea>
    </chartFormat>
    <chartFormat chart="0" format="7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7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1" format="7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996CF-23F1-4023-BB52-2D9A6985C00D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249">
  <location ref="UW97:UX104" firstHeaderRow="1" firstDataRow="1" firstDataCol="1"/>
  <pivotFields count="7">
    <pivotField axis="axisRow" showAll="0">
      <items count="7">
        <item x="1"/>
        <item x="2"/>
        <item x="3"/>
        <item x="5"/>
        <item x="4"/>
        <item x="0"/>
        <item t="default"/>
      </items>
    </pivotField>
    <pivotField showAll="0"/>
    <pivotField numFmtId="164" showAll="0"/>
    <pivotField numFmtId="164" showAll="0"/>
    <pivotField showAll="0"/>
    <pivotField numFmtId="164"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Actual Sellable" fld="6" baseField="0" baseItem="0"/>
  </dataFields>
  <chartFormats count="15"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248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48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48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48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248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63BDF7-3DD6-446B-956C-E885DD63F233}" name="PivotTable1" cacheId="3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K3:L8" firstHeaderRow="1" firstDataRow="1" firstDataCol="1" rowPageCount="1" colPageCount="1"/>
  <pivotFields count="7">
    <pivotField axis="axisPage" multipleItemSelectionAllowed="1" showAll="0">
      <items count="44">
        <item h="1" x="0"/>
        <item h="1" x="1"/>
        <item h="1" x="2"/>
        <item h="1" x="3"/>
        <item h="1" x="4"/>
        <item h="1" x="5"/>
        <item x="6"/>
        <item h="1" x="39"/>
        <item h="1" x="7"/>
        <item h="1" x="8"/>
        <item h="1" x="9"/>
        <item h="1" m="1" x="41"/>
        <item h="1" m="1" x="42"/>
        <item h="1" x="10"/>
        <item h="1" x="11"/>
        <item h="1" m="1" x="40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Items count="1">
    <i/>
  </colItems>
  <pageFields count="1">
    <pageField fld="0" hier="-1"/>
  </pageFields>
  <dataFields count="5">
    <dataField name=" Expo Global Freeport " fld="2" subtotal="average" baseField="0" baseItem="0"/>
    <dataField name=" Kandana DC" fld="3" subtotal="average" baseField="0" baseItem="0"/>
    <dataField name=" Orugodawatta DC" fld="4" subtotal="average" baseField="0" baseItem="0"/>
    <dataField name=" Orugodawatta DC Cold Room " fld="5" subtotal="average" baseField="0" baseItem="0"/>
    <dataField name=" Peliyagoda DC" fld="6" subtotal="average" baseField="0" baseItem="0"/>
  </dataFields>
  <formats count="1">
    <format dxfId="27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F5:G228" firstHeaderRow="1" firstDataRow="1" firstDataCol="1"/>
  <pivotFields count="2">
    <pivotField axis="axisRow" showAll="0">
      <items count="223">
        <item x="9"/>
        <item x="10"/>
        <item x="11"/>
        <item x="12"/>
        <item x="13"/>
        <item x="14"/>
        <item x="0"/>
        <item x="1"/>
        <item x="33"/>
        <item x="34"/>
        <item x="2"/>
        <item x="3"/>
        <item x="4"/>
        <item x="5"/>
        <item x="6"/>
        <item x="7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8"/>
        <item x="27"/>
        <item x="28"/>
        <item x="29"/>
        <item x="30"/>
        <item x="31"/>
        <item x="32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dataField="1" showAll="0"/>
  </pivotFields>
  <rowFields count="1">
    <field x="0"/>
  </rowFields>
  <rowItems count="2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 t="grand">
      <x/>
    </i>
  </rowItems>
  <colItems count="1">
    <i/>
  </colItems>
  <dataFields count="1">
    <dataField name="Sum of EGF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2448">
  <location ref="N599:R850" firstHeaderRow="0" firstDataRow="1" firstDataCol="1" rowPageCount="1" colPageCount="1"/>
  <pivotFields count="7">
    <pivotField axis="axisPage" multipleItemSelectionAllowed="1" showAll="0" defaultSubtotal="0">
      <items count="4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h="1" x="48"/>
      </items>
    </pivotField>
    <pivotField axis="axisRow" numFmtId="14" showAll="0" sortType="ascending">
      <items count="900">
        <item n="5/6/2021" x="3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m="1" x="886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m="1" x="89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m="1" x="88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m="1" x="889"/>
        <item x="370"/>
        <item x="371"/>
        <item x="372"/>
        <item x="373"/>
        <item x="374"/>
        <item x="375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m="1" x="897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m="1" x="893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m="1" x="885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m="1" x="890"/>
        <item m="1" x="895"/>
        <item x="611"/>
        <item x="612"/>
        <item x="613"/>
        <item x="614"/>
        <item x="615"/>
        <item m="1" x="887"/>
        <item x="616"/>
        <item x="617"/>
        <item x="618"/>
        <item x="619"/>
        <item x="620"/>
        <item x="621"/>
        <item m="1" x="888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m="1" x="89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m="1" x="896"/>
        <item x="718"/>
        <item x="719"/>
        <item x="720"/>
        <item x="721"/>
        <item m="1" x="89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m="1" x="898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t="default"/>
      </items>
    </pivotField>
    <pivotField dataField="1" numFmtId="1" showAll="0" defaultSubtotal="0"/>
    <pivotField dataField="1" numFmtId="1" showAll="0" defaultSubtotal="0"/>
    <pivotField dataField="1" showAll="0"/>
    <pivotField dataField="1" showAll="0" defaultSubtotal="0"/>
    <pivotField numFmtId="1" showAll="0"/>
  </pivotFields>
  <rowFields count="1">
    <field x="1"/>
  </rowFields>
  <rowItems count="251"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1"/>
    </i>
    <i>
      <x v="732"/>
    </i>
    <i>
      <x v="733"/>
    </i>
    <i>
      <x v="734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Expo Global Freeport " fld="4" baseField="0" baseItem="0"/>
    <dataField name="Kandana DC" fld="5" baseField="1" baseItem="121"/>
    <dataField name="Orugodawatta DC" fld="2" baseField="0" baseItem="0"/>
    <dataField name="Peliyagoda DC" fld="3" baseField="0" baseItem="0"/>
  </dataFields>
  <formats count="2">
    <format dxfId="25">
      <pivotArea collapsedLevelsAreSubtotals="1" fieldPosition="0">
        <references count="2">
          <reference field="4294967294" count="1" selected="0">
            <x v="0"/>
          </reference>
          <reference field="1" count="2">
            <x v="230"/>
            <x v="231"/>
          </reference>
        </references>
      </pivotArea>
    </format>
    <format dxfId="24">
      <pivotArea collapsedLevelsAreSubtotals="1" fieldPosition="0">
        <references count="1">
          <reference field="1" count="1">
            <x v="0"/>
          </reference>
        </references>
      </pivotArea>
    </format>
  </formats>
  <chartFormats count="82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0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2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2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8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8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8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9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2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2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92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0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0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0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0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0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0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06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06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2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27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27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27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28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28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28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28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3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3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31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31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32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32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32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32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38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38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38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38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3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39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39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39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4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42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42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42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43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43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43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43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4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46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46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46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47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47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47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47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5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52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52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52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53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53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53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53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58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58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58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58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5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59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59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59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6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64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64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64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6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65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65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65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7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70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70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70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71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71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71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71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7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76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76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76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7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77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77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77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78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78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78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78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8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8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81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81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82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82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82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82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8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8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85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85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86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86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86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86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89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8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8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8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9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9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90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90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93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93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93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93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9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94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94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94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9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97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97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97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98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98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98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98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0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0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01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01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02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02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02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02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0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0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05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05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06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06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06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06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09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0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0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0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1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1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10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10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11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11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11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11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1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12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12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12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15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15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15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15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1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16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16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16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17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17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17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17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2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20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20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20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2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21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21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21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24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24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24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24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25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25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25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25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28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2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2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2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29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29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29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29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3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32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32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32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33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33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33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33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3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36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36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36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37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37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37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37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44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44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44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44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45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45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45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45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48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4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4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4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49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49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49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49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5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52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52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52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53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53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53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53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5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56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56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56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57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57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57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57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6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60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60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60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6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61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61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61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64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64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64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64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65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65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65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65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68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6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6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6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69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69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69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69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7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72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72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72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73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73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73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73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8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80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80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80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81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81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81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81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8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82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82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82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85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85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85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85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86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86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86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86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89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89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89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89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9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90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90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90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93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93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93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93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94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94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94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94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97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97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97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97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98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98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98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98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01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01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01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01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0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02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02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02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05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05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05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05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06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06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06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06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09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09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09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09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1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10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10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10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13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13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13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13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14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14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14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14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17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17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17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17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18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18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18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18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21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21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21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21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2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22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22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22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25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25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25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25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26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26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26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26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31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31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31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31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3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32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32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32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35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35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35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35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36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36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36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36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41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41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41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41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4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42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42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42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45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45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45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45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4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46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46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46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47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47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47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47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5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50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50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50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5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51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51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51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54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54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54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54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55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55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55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55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58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5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5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5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59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59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59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59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6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62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62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62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63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63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63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63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6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66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66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66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67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67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67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67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7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70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70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70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7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71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71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71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74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74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74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74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75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75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75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75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78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7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7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7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79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79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79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79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8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82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82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82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83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83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83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83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8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86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86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86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87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87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87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87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9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0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90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90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9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1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91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91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94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4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94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94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95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5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95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95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98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9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9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99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99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99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99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0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06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06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06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07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07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07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07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1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12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12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12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13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13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13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13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1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16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16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16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17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17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17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17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2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20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20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20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2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21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21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21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24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24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24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24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25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25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25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25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28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2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2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2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29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29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29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29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3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2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32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32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33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3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33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33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3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6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36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36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37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37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37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37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4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40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40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40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41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41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41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41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4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42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42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42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45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45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45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45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46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46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46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46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49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49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49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49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5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50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50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50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5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51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51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51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54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54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54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54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55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55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55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55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58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5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5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5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59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59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59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59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6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62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62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62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63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63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63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63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6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66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66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66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67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67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67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67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7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0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70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70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7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1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71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71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74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4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74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74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75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5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75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75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78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7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7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79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79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79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79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8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82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82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82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83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83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83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83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8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86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86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86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87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87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87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87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9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0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90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90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9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1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91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91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94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4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94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94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95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5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95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95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98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9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9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99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99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99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99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0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2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02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02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03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3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03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03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04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4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04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04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07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7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07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07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08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08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08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08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11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11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11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11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1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12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12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12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15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15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15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15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16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16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16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16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23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23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23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23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24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24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24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24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27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27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27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27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28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28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28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28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41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41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41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41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4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42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42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42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73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73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73" format="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73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74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74" format="3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74" format="3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74" format="3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95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50" format="3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50" format="3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50" format="3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329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29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29" format="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29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33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30" format="3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30" format="3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30" format="3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333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33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33" format="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33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334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34" format="3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34" format="3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34" format="39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ACE7A-21A7-4877-BCF0-771666A1A667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K4:M21" firstHeaderRow="1" firstDataRow="1" firstDataCol="0"/>
  <pivotFields count="2"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A99A1-7DCF-4B3B-94E4-E51573CF5238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262">
  <location ref="UW98:UX105" firstHeaderRow="1" firstDataRow="1" firstDataCol="1"/>
  <pivotFields count="7">
    <pivotField axis="axisRow" showAll="0">
      <items count="7">
        <item x="1"/>
        <item x="2"/>
        <item x="3"/>
        <item x="5"/>
        <item x="4"/>
        <item x="0"/>
        <item t="default"/>
      </items>
    </pivotField>
    <pivotField showAll="0"/>
    <pivotField numFmtId="164" showAll="0"/>
    <pivotField numFmtId="164" showAll="0"/>
    <pivotField showAll="0"/>
    <pivotField numFmtId="164"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Actual Sellable" fld="6" baseField="0" baseItem="0"/>
  </dataFields>
  <chartFormats count="12"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257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58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7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2103">
  <location ref="A23:C36" firstHeaderRow="0" firstDataRow="1" firstDataCol="1"/>
  <pivotFields count="9">
    <pivotField axis="axisRow" showAll="0">
      <items count="11">
        <item x="3"/>
        <item m="1" x="9"/>
        <item m="1" x="8"/>
        <item h="1" x="4"/>
        <item x="5"/>
        <item x="6"/>
        <item x="0"/>
        <item x="2"/>
        <item m="1" x="7"/>
        <item x="1"/>
        <item t="default"/>
      </items>
    </pivotField>
    <pivotField dataField="1" showAll="0"/>
    <pivotField axis="axisRow" numFmtId="9" showAll="0">
      <items count="2019">
        <item x="6"/>
        <item m="1" x="414"/>
        <item m="1" x="666"/>
        <item m="1" x="1327"/>
        <item m="1" x="218"/>
        <item m="1" x="1670"/>
        <item m="1" x="1922"/>
        <item m="1" x="1583"/>
        <item m="1" x="1823"/>
        <item m="1" x="42"/>
        <item m="1" x="1562"/>
        <item m="1" x="1118"/>
        <item m="1" x="1648"/>
        <item m="1" x="753"/>
        <item m="1" x="937"/>
        <item m="1" x="966"/>
        <item m="1" x="378"/>
        <item m="1" x="244"/>
        <item m="1" x="850"/>
        <item m="1" x="923"/>
        <item m="1" x="1533"/>
        <item m="1" x="157"/>
        <item m="1" x="1736"/>
        <item m="1" x="1672"/>
        <item m="1" x="431"/>
        <item m="1" x="944"/>
        <item m="1" x="1679"/>
        <item m="1" x="1106"/>
        <item m="1" x="1223"/>
        <item m="1" x="500"/>
        <item m="1" x="1740"/>
        <item m="1" x="1600"/>
        <item m="1" x="1746"/>
        <item m="1" x="1236"/>
        <item m="1" x="703"/>
        <item m="1" x="1299"/>
        <item m="1" x="493"/>
        <item m="1" x="1377"/>
        <item m="1" x="749"/>
        <item m="1" x="1400"/>
        <item m="1" x="1990"/>
        <item m="1" x="498"/>
        <item m="1" x="1019"/>
        <item m="1" x="380"/>
        <item m="1" x="335"/>
        <item m="1" x="1943"/>
        <item m="1" x="239"/>
        <item m="1" x="235"/>
        <item m="1" x="1639"/>
        <item m="1" x="407"/>
        <item m="1" x="871"/>
        <item m="1" x="963"/>
        <item m="1" x="1173"/>
        <item m="1" x="1008"/>
        <item m="1" x="275"/>
        <item m="1" x="1441"/>
        <item m="1" x="441"/>
        <item m="1" x="1543"/>
        <item m="1" x="1302"/>
        <item m="1" x="1935"/>
        <item m="1" x="225"/>
        <item m="1" x="631"/>
        <item m="1" x="238"/>
        <item m="1" x="913"/>
        <item m="1" x="471"/>
        <item m="1" x="1156"/>
        <item m="1" x="837"/>
        <item m="1" x="444"/>
        <item m="1" x="1855"/>
        <item m="1" x="12"/>
        <item m="1" x="1500"/>
        <item m="1" x="1747"/>
        <item m="1" x="645"/>
        <item m="1" x="1259"/>
        <item m="1" x="1942"/>
        <item m="1" x="777"/>
        <item m="1" x="1939"/>
        <item m="1" x="1739"/>
        <item m="1" x="953"/>
        <item m="1" x="1462"/>
        <item m="1" x="391"/>
        <item m="1" x="650"/>
        <item m="1" x="369"/>
        <item m="1" x="1829"/>
        <item m="1" x="1957"/>
        <item m="1" x="320"/>
        <item m="1" x="1658"/>
        <item m="1" x="1095"/>
        <item m="1" x="1256"/>
        <item m="1" x="712"/>
        <item m="1" x="162"/>
        <item m="1" x="737"/>
        <item m="1" x="1977"/>
        <item m="1" x="8"/>
        <item m="1" x="597"/>
        <item m="1" x="475"/>
        <item m="1" x="1813"/>
        <item m="1" x="729"/>
        <item m="1" x="1841"/>
        <item m="1" x="485"/>
        <item m="1" x="1021"/>
        <item m="1" x="333"/>
        <item m="1" x="382"/>
        <item m="1" x="997"/>
        <item m="1" x="159"/>
        <item m="1" x="699"/>
        <item m="1" x="1825"/>
        <item m="1" x="853"/>
        <item m="1" x="787"/>
        <item m="1" x="1785"/>
        <item m="1" x="1017"/>
        <item m="1" x="1551"/>
        <item m="1" x="1450"/>
        <item m="1" x="1032"/>
        <item m="1" x="1771"/>
        <item m="1" x="1631"/>
        <item m="1" x="202"/>
        <item m="1" x="1858"/>
        <item m="1" x="1197"/>
        <item m="1" x="146"/>
        <item m="1" x="771"/>
        <item m="1" x="123"/>
        <item m="1" x="508"/>
        <item m="1" x="297"/>
        <item m="1" x="89"/>
        <item m="1" x="1002"/>
        <item m="1" x="1680"/>
        <item m="1" x="53"/>
        <item m="1" x="78"/>
        <item m="1" x="702"/>
        <item m="1" x="840"/>
        <item m="1" x="1080"/>
        <item m="1" x="516"/>
        <item m="1" x="617"/>
        <item m="1" x="362"/>
        <item m="1" x="1794"/>
        <item m="1" x="130"/>
        <item m="1" x="1589"/>
        <item m="1" x="902"/>
        <item m="1" x="155"/>
        <item m="1" x="330"/>
        <item m="1" x="540"/>
        <item m="1" x="1294"/>
        <item m="1" x="1468"/>
        <item m="1" x="1087"/>
        <item m="1" x="1748"/>
        <item m="1" x="1508"/>
        <item m="1" x="305"/>
        <item m="1" x="484"/>
        <item m="1" x="453"/>
        <item m="1" x="95"/>
        <item m="1" x="1364"/>
        <item m="1" x="206"/>
        <item m="1" x="417"/>
        <item m="1" x="1317"/>
        <item m="1" x="1091"/>
        <item m="1" x="1874"/>
        <item m="1" x="713"/>
        <item m="1" x="342"/>
        <item m="1" x="901"/>
        <item m="1" x="1561"/>
        <item m="1" x="1655"/>
        <item m="1" x="1678"/>
        <item m="1" x="904"/>
        <item m="1" x="744"/>
        <item m="1" x="860"/>
        <item m="1" x="1221"/>
        <item m="1" x="1710"/>
        <item m="1" x="1952"/>
        <item m="1" x="44"/>
        <item m="1" x="2010"/>
        <item m="1" x="1897"/>
        <item m="1" x="387"/>
        <item m="1" x="1826"/>
        <item m="1" x="277"/>
        <item m="1" x="1269"/>
        <item m="1" x="1296"/>
        <item m="1" x="560"/>
        <item m="1" x="803"/>
        <item m="1" x="556"/>
        <item m="1" x="693"/>
        <item m="1" x="1798"/>
        <item m="1" x="1516"/>
        <item m="1" x="1775"/>
        <item m="1" x="975"/>
        <item m="1" x="1373"/>
        <item m="1" x="298"/>
        <item m="1" x="224"/>
        <item m="1" x="135"/>
        <item m="1" x="274"/>
        <item m="1" x="1918"/>
        <item m="1" x="769"/>
        <item m="1" x="167"/>
        <item m="1" x="615"/>
        <item m="1" x="987"/>
        <item m="1" x="1059"/>
        <item m="1" x="1513"/>
        <item m="1" x="728"/>
        <item m="1" x="1382"/>
        <item m="1" x="1011"/>
        <item m="1" x="743"/>
        <item m="1" x="1688"/>
        <item m="1" x="1058"/>
        <item m="1" x="1278"/>
        <item m="1" x="806"/>
        <item m="1" x="1704"/>
        <item m="1" x="950"/>
        <item m="1" x="814"/>
        <item m="1" x="1027"/>
        <item m="1" x="1448"/>
        <item m="1" x="1905"/>
        <item m="1" x="259"/>
        <item m="1" x="626"/>
        <item m="1" x="176"/>
        <item m="1" x="1726"/>
        <item m="1" x="886"/>
        <item m="1" x="455"/>
        <item m="1" x="1899"/>
        <item m="1" x="1099"/>
        <item m="1" x="109"/>
        <item m="1" x="222"/>
        <item m="1" x="1337"/>
        <item m="1" x="1967"/>
        <item m="1" x="1466"/>
        <item m="1" x="388"/>
        <item m="1" x="472"/>
        <item m="1" x="1893"/>
        <item m="1" x="1274"/>
        <item m="1" x="98"/>
        <item m="1" x="1309"/>
        <item m="1" x="1796"/>
        <item m="1" x="270"/>
        <item m="1" x="47"/>
        <item m="1" x="1078"/>
        <item m="1" x="1620"/>
        <item m="1" x="1247"/>
        <item m="1" x="956"/>
        <item m="1" x="1522"/>
        <item m="1" x="247"/>
        <item m="1" x="1552"/>
        <item m="1" x="684"/>
        <item m="1" x="1260"/>
        <item m="1" x="1927"/>
        <item m="1" x="1782"/>
        <item m="1" x="864"/>
        <item m="1" x="1578"/>
        <item m="1" x="1194"/>
        <item m="1" x="1245"/>
        <item m="1" x="686"/>
        <item m="1" x="971"/>
        <item m="1" x="751"/>
        <item m="1" x="1344"/>
        <item m="1" x="1520"/>
        <item m="1" x="1195"/>
        <item m="1" x="1025"/>
        <item m="1" x="1458"/>
        <item m="1" x="1334"/>
        <item m="1" x="980"/>
        <item m="1" x="1041"/>
        <item m="1" x="1602"/>
        <item m="1" x="1743"/>
        <item m="1" x="1291"/>
        <item m="1" x="1033"/>
        <item m="1" x="1486"/>
        <item m="1" x="1938"/>
        <item m="1" x="681"/>
        <item m="1" x="301"/>
        <item m="1" x="708"/>
        <item m="1" x="596"/>
        <item m="1" x="39"/>
        <item m="1" x="1290"/>
        <item m="1" x="1737"/>
        <item m="1" x="448"/>
        <item m="1" x="993"/>
        <item m="1" x="90"/>
        <item m="1" x="1386"/>
        <item m="1" x="1333"/>
        <item m="1" x="900"/>
        <item m="1" x="836"/>
        <item m="1" x="1989"/>
        <item m="1" x="36"/>
        <item m="1" x="1347"/>
        <item m="1" x="399"/>
        <item m="1" x="271"/>
        <item m="1" x="310"/>
        <item m="1" x="251"/>
        <item m="1" x="1949"/>
        <item m="1" x="954"/>
        <item m="1" x="71"/>
        <item m="1" x="58"/>
        <item m="1" x="765"/>
        <item m="1" x="1352"/>
        <item m="1" x="1751"/>
        <item m="1" x="1895"/>
        <item m="1" x="655"/>
        <item m="1" x="13"/>
        <item m="1" x="642"/>
        <item m="1" x="418"/>
        <item m="1" x="635"/>
        <item m="1" x="1208"/>
        <item m="1" x="1222"/>
        <item m="1" x="1681"/>
        <item m="1" x="1871"/>
        <item m="1" x="210"/>
        <item m="1" x="607"/>
        <item m="1" x="1387"/>
        <item m="1" x="199"/>
        <item m="1" x="1556"/>
        <item m="1" x="347"/>
        <item m="1" x="49"/>
        <item m="1" x="1948"/>
        <item m="1" x="1229"/>
        <item m="1" x="595"/>
        <item m="1" x="173"/>
        <item m="1" x="1235"/>
        <item m="1" x="172"/>
        <item m="1" x="147"/>
        <item m="1" x="1892"/>
        <item m="1" x="1447"/>
        <item m="1" x="788"/>
        <item m="1" x="844"/>
        <item m="1" x="438"/>
        <item m="1" x="1435"/>
        <item m="1" x="521"/>
        <item m="1" x="1708"/>
        <item m="1" x="1165"/>
        <item m="1" x="968"/>
        <item m="1" x="891"/>
        <item m="1" x="307"/>
        <item m="1" x="1613"/>
        <item m="1" x="565"/>
        <item m="1" x="1515"/>
        <item m="1" x="1692"/>
        <item m="1" x="447"/>
        <item m="1" x="88"/>
        <item m="1" x="487"/>
        <item m="1" x="1867"/>
        <item m="1" x="1588"/>
        <item m="1" x="978"/>
        <item m="1" x="653"/>
        <item m="1" x="466"/>
        <item m="1" x="1314"/>
        <item m="1" x="315"/>
        <item m="1" x="1907"/>
        <item m="1" x="1581"/>
        <item m="1" x="184"/>
        <item m="1" x="1912"/>
        <item m="1" x="1037"/>
        <item m="1" x="57"/>
        <item m="1" x="1616"/>
        <item m="1" x="406"/>
        <item m="1" x="1777"/>
        <item m="1" x="621"/>
        <item m="1" x="908"/>
        <item m="1" x="1339"/>
        <item m="1" x="882"/>
        <item m="1" x="768"/>
        <item m="1" x="423"/>
        <item m="1" x="1227"/>
        <item m="1" x="43"/>
        <item m="1" x="509"/>
        <item m="1" x="1331"/>
        <item m="1" x="962"/>
        <item m="1" x="1104"/>
        <item m="1" x="374"/>
        <item m="1" x="1171"/>
        <item m="1" x="1180"/>
        <item m="1" x="1994"/>
        <item m="1" x="289"/>
        <item m="1" x="1828"/>
        <item m="1" x="1570"/>
        <item m="1" x="748"/>
        <item m="1" x="783"/>
        <item m="1" x="854"/>
        <item m="1" x="1063"/>
        <item m="1" x="682"/>
        <item m="1" x="1225"/>
        <item m="1" x="459"/>
        <item m="1" x="1940"/>
        <item m="1" x="29"/>
        <item m="1" x="550"/>
        <item m="1" x="405"/>
        <item m="1" x="833"/>
        <item m="1" x="260"/>
        <item m="1" x="695"/>
        <item m="1" x="1920"/>
        <item m="1" x="151"/>
        <item m="1" x="1120"/>
        <item m="1" x="903"/>
        <item m="1" x="1593"/>
        <item m="1" x="1286"/>
        <item m="1" x="1503"/>
        <item m="1" x="1187"/>
        <item m="1" x="628"/>
        <item m="1" x="300"/>
        <item m="1" x="272"/>
        <item m="1" x="899"/>
        <item m="1" x="502"/>
        <item m="1" x="1136"/>
        <item m="1" x="22"/>
        <item m="1" x="1799"/>
        <item m="1" x="1411"/>
        <item m="1" x="254"/>
        <item m="1" x="283"/>
        <item m="1" x="1159"/>
        <item m="1" x="618"/>
        <item m="1" x="1568"/>
        <item m="1" x="219"/>
        <item m="1" x="1422"/>
        <item m="1" x="358"/>
        <item m="1" x="996"/>
        <item m="1" x="798"/>
        <item m="1" x="1647"/>
        <item m="1" x="562"/>
        <item m="1" x="1050"/>
        <item m="1" x="1695"/>
        <item m="1" x="389"/>
        <item m="1" x="70"/>
        <item m="1" x="998"/>
        <item m="1" x="1135"/>
        <item m="1" x="1148"/>
        <item m="1" x="1875"/>
        <item m="1" x="1100"/>
        <item m="1" x="1114"/>
        <item m="1" x="1876"/>
        <item m="1" x="1145"/>
        <item m="1" x="914"/>
        <item m="1" x="68"/>
        <item m="1" x="299"/>
        <item m="1" x="253"/>
        <item m="1" x="673"/>
        <item m="1" x="1172"/>
        <item m="1" x="1012"/>
        <item m="1" x="1454"/>
        <item m="1" x="252"/>
        <item m="1" x="87"/>
        <item m="1" x="623"/>
        <item m="1" x="1398"/>
        <item m="1" x="1923"/>
        <item m="1" x="215"/>
        <item m="1" x="1635"/>
        <item m="1" x="1268"/>
        <item m="1" x="1734"/>
        <item m="1" x="1394"/>
        <item m="1" x="519"/>
        <item m="1" x="774"/>
        <item m="1" x="1233"/>
        <item m="1" x="1528"/>
        <item m="1" x="1797"/>
        <item m="1" x="317"/>
        <item m="1" x="1150"/>
        <item m="1" x="449"/>
        <item m="1" x="1762"/>
        <item m="1" x="1085"/>
        <item m="1" x="1481"/>
        <item m="1" x="1082"/>
        <item m="1" x="322"/>
        <item m="1" x="370"/>
        <item m="1" x="1495"/>
        <item m="1" x="164"/>
        <item m="1" x="28"/>
        <item m="1" x="101"/>
        <item m="1" x="579"/>
        <item m="1" x="1643"/>
        <item m="1" x="1972"/>
        <item m="1" x="770"/>
        <item m="1" x="426"/>
        <item m="1" x="1506"/>
        <item m="1" x="1065"/>
        <item m="1" x="2013"/>
        <item m="1" x="328"/>
        <item m="1" x="811"/>
        <item m="1" x="99"/>
        <item m="1" x="813"/>
        <item m="1" x="613"/>
        <item m="1" x="1991"/>
        <item m="1" x="843"/>
        <item m="1" x="1108"/>
        <item m="1" x="620"/>
        <item m="1" x="677"/>
        <item m="1" x="1636"/>
        <item m="1" x="1817"/>
        <item m="1" x="1266"/>
        <item m="1" x="196"/>
        <item m="1" x="1904"/>
        <item m="1" x="142"/>
        <item m="1" x="355"/>
        <item m="1" x="434"/>
        <item m="1" x="764"/>
        <item m="1" x="648"/>
        <item m="1" x="1416"/>
        <item m="1" x="761"/>
        <item m="1" x="705"/>
        <item m="1" x="390"/>
        <item m="1" x="269"/>
        <item m="1" x="1979"/>
        <item m="1" x="1839"/>
        <item m="1" x="1716"/>
        <item m="1" x="1280"/>
        <item m="1" x="363"/>
        <item m="1" x="1915"/>
        <item m="1" x="1158"/>
        <item m="1" x="602"/>
        <item m="1" x="197"/>
        <item m="1" x="984"/>
        <item m="1" x="1335"/>
        <item m="1" x="354"/>
        <item m="1" x="288"/>
        <item m="1" x="161"/>
        <item m="1" x="1934"/>
        <item m="1" x="1410"/>
        <item m="1" x="306"/>
        <item m="1" x="1693"/>
        <item m="1" x="856"/>
        <item m="1" x="1395"/>
        <item m="1" x="1211"/>
        <item m="1" x="1282"/>
        <item m="1" x="60"/>
        <item m="1" x="665"/>
        <item m="1" x="291"/>
        <item m="1" x="872"/>
        <item m="1" x="140"/>
        <item m="1" x="14"/>
        <item m="1" x="1615"/>
        <item m="1" x="1886"/>
        <item m="1" x="981"/>
        <item m="1" x="646"/>
        <item m="1" x="410"/>
        <item m="1" x="1563"/>
        <item m="1" x="668"/>
        <item m="1" x="1686"/>
        <item m="1" x="350"/>
        <item m="1" x="1632"/>
        <item m="1" x="45"/>
        <item m="1" x="742"/>
        <item m="1" x="1919"/>
        <item m="1" x="669"/>
        <item m="1" x="316"/>
        <item m="1" x="1623"/>
        <item m="1" x="1105"/>
        <item m="1" x="1536"/>
        <item m="1" x="122"/>
        <item m="1" x="1307"/>
        <item m="1" x="278"/>
        <item m="1" x="1081"/>
        <item m="1" x="1608"/>
        <item m="1" x="1961"/>
        <item m="1" x="692"/>
        <item m="1" x="26"/>
        <item m="1" x="1023"/>
        <item m="1" x="1308"/>
        <item m="1" x="1075"/>
        <item m="1" x="1837"/>
        <item m="1" x="1675"/>
        <item m="1" x="190"/>
        <item m="1" x="258"/>
        <item m="1" x="511"/>
        <item m="1" x="325"/>
        <item m="1" x="1571"/>
        <item m="1" x="1490"/>
        <item m="1" x="256"/>
        <item m="1" x="1669"/>
        <item m="1" x="424"/>
        <item m="1" x="1565"/>
        <item m="1" x="120"/>
        <item m="1" x="1079"/>
        <item m="1" x="824"/>
        <item m="1" x="1585"/>
        <item m="1" x="386"/>
        <item m="1" x="1051"/>
        <item m="1" x="230"/>
        <item m="1" x="592"/>
        <item m="1" x="1277"/>
        <item m="1" x="1554"/>
        <item m="1" x="1603"/>
        <item m="1" x="153"/>
        <item m="1" x="1214"/>
        <item m="1" x="651"/>
        <item m="1" x="1684"/>
        <item m="1" x="1722"/>
        <item m="1" x="1719"/>
        <item m="1" x="1683"/>
        <item m="1" x="543"/>
        <item m="1" x="1750"/>
        <item m="1" x="629"/>
        <item m="1" x="464"/>
        <item m="1" x="411"/>
        <item m="1" x="281"/>
        <item m="1" x="622"/>
        <item m="1" x="439"/>
        <item m="1" x="763"/>
        <item m="1" x="1139"/>
        <item m="1" x="1729"/>
        <item m="1" x="719"/>
        <item m="1" x="1218"/>
        <item m="1" x="1116"/>
        <item m="1" x="294"/>
        <item m="1" x="885"/>
        <item m="1" x="1018"/>
        <item m="1" x="1083"/>
        <item m="1" x="264"/>
        <item m="1" x="1790"/>
        <item m="1" x="1176"/>
        <item m="1" x="221"/>
        <item m="1" x="1973"/>
        <item m="1" x="925"/>
        <item m="1" x="544"/>
        <item m="1" x="561"/>
        <item m="1" x="1353"/>
        <item m="1" x="1971"/>
        <item m="1" x="722"/>
        <item m="1" x="1412"/>
        <item m="1" x="329"/>
        <item m="1" x="468"/>
        <item m="1" x="830"/>
        <item m="1" x="1711"/>
        <item m="1" x="649"/>
        <item m="1" x="1766"/>
        <item m="1" x="1064"/>
        <item m="1" x="37"/>
        <item m="1" x="1190"/>
        <item m="1" x="1311"/>
        <item m="1" x="1650"/>
        <item m="1" x="590"/>
        <item m="1" x="778"/>
        <item m="1" x="1795"/>
        <item m="1" x="767"/>
        <item m="1" x="1117"/>
        <item m="1" x="188"/>
        <item m="1" x="905"/>
        <item m="1" x="920"/>
        <item m="1" x="1985"/>
        <item m="1" x="1388"/>
        <item m="1" x="233"/>
        <item m="1" x="1303"/>
        <item m="1" x="832"/>
        <item m="1" x="1390"/>
        <item m="1" x="1535"/>
        <item m="1" x="2017"/>
        <item m="1" x="1029"/>
        <item m="1" x="698"/>
        <item m="1" x="1909"/>
        <item m="1" x="718"/>
        <item m="1" x="1819"/>
        <item m="1" x="1423"/>
        <item m="1" x="1349"/>
        <item m="1" x="1014"/>
        <item m="1" x="857"/>
        <item m="1" x="1761"/>
        <item m="1" x="733"/>
        <item m="1" x="473"/>
        <item m="1" x="75"/>
        <item m="1" x="1993"/>
        <item m="1" x="393"/>
        <item m="1" x="249"/>
        <item m="1" x="924"/>
        <item m="1" x="1846"/>
        <item m="1" x="365"/>
        <item m="1" x="1193"/>
        <item m="1" x="1926"/>
        <item m="1" x="1584"/>
        <item m="1" x="2002"/>
        <item m="1" x="676"/>
        <item m="1" x="1129"/>
        <item m="1" x="1242"/>
        <item m="1" x="831"/>
        <item m="1" x="612"/>
        <item m="1" x="376"/>
        <item m="1" x="578"/>
        <item m="1" x="1283"/>
        <item m="1" x="1705"/>
        <item m="1" x="643"/>
        <item m="1" x="1298"/>
        <item m="1" x="1215"/>
        <item m="1" x="1835"/>
        <item m="1" x="868"/>
        <item m="1" x="525"/>
        <item m="1" x="1356"/>
        <item m="1" x="1089"/>
        <item m="1" x="1324"/>
        <item m="1" x="1545"/>
        <item m="1" x="1359"/>
        <item m="1" x="1098"/>
        <item m="1" x="1417"/>
        <item m="1" x="841"/>
        <item m="1" x="1564"/>
        <item m="1" x="1354"/>
        <item m="1" x="1609"/>
        <item m="1" x="69"/>
        <item m="1" x="601"/>
        <item m="1" x="2009"/>
        <item m="1" x="1368"/>
        <item m="1" x="1691"/>
        <item m="1" x="1251"/>
        <item m="1" x="383"/>
        <item m="1" x="336"/>
        <item m="1" x="1694"/>
        <item m="1" x="1614"/>
        <item m="1" x="795"/>
        <item m="1" x="1687"/>
        <item m="1" x="1030"/>
        <item m="1" x="1186"/>
        <item m="1" x="929"/>
        <item m="1" x="1253"/>
        <item m="1" x="372"/>
        <item m="1" x="170"/>
        <item m="1" x="268"/>
        <item m="1" x="1890"/>
        <item m="1" x="1501"/>
        <item m="1" x="1036"/>
        <item m="1" x="61"/>
        <item m="1" x="1834"/>
        <item m="1" x="1442"/>
        <item m="1" x="1157"/>
        <item m="1" x="1877"/>
        <item m="1" x="373"/>
        <item m="1" x="1200"/>
        <item m="1" x="1661"/>
        <item m="1" x="1805"/>
        <item m="1" x="657"/>
        <item m="1" x="974"/>
        <item m="1" x="1924"/>
        <item m="1" x="1046"/>
        <item m="1" x="1525"/>
        <item m="1" x="917"/>
        <item m="1" x="976"/>
        <item m="1" x="862"/>
        <item m="1" x="1707"/>
        <item m="1" x="349"/>
        <item m="1" x="1700"/>
        <item m="1" x="828"/>
        <item m="1" x="1076"/>
        <item m="1" x="470"/>
        <item m="1" x="150"/>
        <item m="1" x="106"/>
        <item m="1" x="175"/>
        <item m="1" x="1084"/>
        <item m="1" x="381"/>
        <item m="1" x="1597"/>
        <item m="1" x="1345"/>
        <item m="1" x="958"/>
        <item m="1" x="545"/>
        <item m="1" x="55"/>
        <item m="1" x="82"/>
        <item m="1" x="461"/>
        <item m="1" x="1702"/>
        <item m="1" x="1052"/>
        <item m="1" x="463"/>
        <item m="1" x="656"/>
        <item m="1" x="633"/>
        <item m="1" x="326"/>
        <item m="1" x="609"/>
        <item m="1" x="1239"/>
        <item m="1" x="678"/>
        <item m="1" x="505"/>
        <item m="1" x="818"/>
        <item m="1" x="815"/>
        <item m="1" x="115"/>
        <item m="1" x="1300"/>
        <item m="1" x="892"/>
        <item m="1" x="522"/>
        <item m="1" x="1778"/>
        <item m="1" x="77"/>
        <item m="1" x="100"/>
        <item m="1" x="1312"/>
        <item m="1" x="1369"/>
        <item m="1" x="148"/>
        <item m="1" x="279"/>
        <item m="1" x="1894"/>
        <item m="1" x="571"/>
        <item m="1" x="450"/>
        <item m="1" x="1358"/>
        <item m="1" x="1718"/>
        <item m="1" x="1243"/>
        <item m="1" x="1237"/>
        <item m="1" x="817"/>
        <item m="1" x="1146"/>
        <item m="1" x="1898"/>
        <item m="1" x="1228"/>
        <item m="1" x="1873"/>
        <item m="1" x="454"/>
        <item m="1" x="1409"/>
        <item m="1" x="1463"/>
        <item m="1" x="1496"/>
        <item m="1" x="1122"/>
        <item m="1" x="1760"/>
        <item m="1" x="1808"/>
        <item m="1" x="812"/>
        <item m="1" x="145"/>
        <item m="1" x="1144"/>
        <item m="1" x="889"/>
        <item m="1" x="1137"/>
        <item m="1" x="1074"/>
        <item m="1" x="1201"/>
        <item m="1" x="1891"/>
        <item m="1" x="1901"/>
        <item m="1" x="1380"/>
        <item m="1" x="1178"/>
        <item m="1" x="1263"/>
        <item m="1" x="912"/>
        <item m="1" x="724"/>
        <item m="1" x="554"/>
        <item m="1" x="515"/>
        <item m="1" x="1532"/>
        <item m="1" x="766"/>
        <item m="1" x="1843"/>
        <item m="1" x="1053"/>
        <item m="1" x="1900"/>
        <item m="1" x="1375"/>
        <item m="1" x="338"/>
        <item m="1" x="486"/>
        <item m="1" x="1780"/>
        <item m="1" x="1504"/>
        <item m="1" x="1061"/>
        <item m="1" x="1073"/>
        <item m="1" x="1241"/>
        <item m="1" x="1838"/>
        <item m="1" x="1252"/>
        <item m="1" x="1936"/>
        <item m="1" x="428"/>
        <item m="1" x="948"/>
        <item m="1" x="1811"/>
        <item m="1" x="1216"/>
        <item m="1" x="1492"/>
        <item m="1" x="280"/>
        <item m="1" x="304"/>
        <item m="1" x="825"/>
        <item m="1" x="1445"/>
        <item m="1" x="234"/>
        <item m="1" x="933"/>
        <item m="1" x="1573"/>
        <item m="1" x="337"/>
        <item m="1" x="343"/>
        <item m="1" x="804"/>
        <item m="1" x="1169"/>
        <item m="1" x="318"/>
        <item m="1" x="877"/>
        <item m="1" x="1978"/>
        <item m="1" x="213"/>
        <item m="1" x="1258"/>
        <item m="1" x="1057"/>
        <item m="1" x="166"/>
        <item m="1" x="361"/>
        <item m="1" x="348"/>
        <item m="1" x="160"/>
        <item m="1" x="1682"/>
        <item m="1" x="357"/>
        <item m="1" x="1464"/>
        <item m="1" x="121"/>
        <item m="1" x="1338"/>
        <item m="1" x="1404"/>
        <item m="1" x="1596"/>
        <item m="1" x="727"/>
        <item m="1" x="110"/>
        <item m="1" x="574"/>
        <item m="1" x="1557"/>
        <item m="1" x="1945"/>
        <item m="1" x="1755"/>
        <item m="1" x="285"/>
        <item m="1" x="801"/>
        <item m="1" x="126"/>
        <item m="1" x="1776"/>
        <item m="1" x="302"/>
        <item m="1" x="1138"/>
        <item m="1" x="1885"/>
        <item m="1" x="1321"/>
        <item m="1" x="435"/>
        <item m="1" x="1550"/>
        <item m="1" x="1482"/>
        <item m="1" x="40"/>
        <item m="1" x="429"/>
        <item m="1" x="839"/>
        <item m="1" x="1544"/>
        <item m="1" x="1745"/>
        <item m="1" x="413"/>
        <item m="1" x="1170"/>
        <item m="1" x="526"/>
        <item m="1" x="720"/>
        <item m="1" x="1822"/>
        <item m="1" x="1457"/>
        <item m="1" x="575"/>
        <item m="1" x="1038"/>
        <item m="1" x="670"/>
        <item m="1" x="779"/>
        <item m="1" x="1969"/>
        <item m="1" x="1996"/>
        <item m="1" x="195"/>
        <item m="1" x="793"/>
        <item m="1" x="1374"/>
        <item m="1" x="1407"/>
        <item m="1" x="324"/>
        <item m="1" x="514"/>
        <item m="1" x="1006"/>
        <item m="1" x="1071"/>
        <item m="1" x="245"/>
        <item m="1" x="1292"/>
        <item m="1" x="1130"/>
        <item m="1" x="1690"/>
        <item m="1" x="1234"/>
        <item m="1" x="1402"/>
        <item m="1" x="1842"/>
        <item m="1" x="896"/>
        <item m="1" x="594"/>
        <item m="1" x="576"/>
        <item m="1" x="1633"/>
        <item m="1" x="1502"/>
        <item m="1" x="149"/>
        <item m="1" x="1244"/>
        <item m="1" x="1628"/>
        <item m="1" x="21"/>
        <item m="1" x="1476"/>
        <item m="1" x="943"/>
        <item m="1" x="942"/>
        <item m="1" x="1185"/>
        <item m="1" x="983"/>
        <item m="1" x="1759"/>
        <item m="1" x="128"/>
        <item m="1" x="1166"/>
        <item m="1" x="679"/>
        <item m="1" x="1981"/>
        <item m="1" x="1864"/>
        <item m="1" x="517"/>
        <item m="1" x="1319"/>
        <item m="1" x="341"/>
        <item m="1" x="694"/>
        <item m="1" x="1800"/>
        <item m="1" x="41"/>
        <item m="1" x="432"/>
        <item m="1" x="967"/>
        <item m="1" x="726"/>
        <item m="1" x="991"/>
        <item m="1" x="759"/>
        <item m="1" x="394"/>
        <item m="1" x="750"/>
        <item m="1" x="1982"/>
        <item m="1" x="243"/>
        <item m="1" x="1860"/>
        <item m="1" x="1547"/>
        <item m="1" x="1998"/>
        <item m="1" x="964"/>
        <item m="1" x="50"/>
        <item m="1" x="114"/>
        <item m="1" x="1595"/>
        <item m="1" x="1641"/>
        <item m="1" x="531"/>
        <item m="1" x="1343"/>
        <item m="1" x="772"/>
        <item m="1" x="1067"/>
        <item m="1" x="1471"/>
        <item m="1" x="1767"/>
        <item m="1" x="303"/>
        <item m="1" x="194"/>
        <item m="1" x="214"/>
        <item m="1" x="1889"/>
        <item m="1" x="936"/>
        <item m="1" x="537"/>
        <item m="1" x="861"/>
        <item m="1" x="1184"/>
        <item m="1" x="273"/>
        <item m="1" x="1077"/>
        <item m="1" x="1175"/>
        <item m="1" x="985"/>
        <item m="1" x="231"/>
        <item m="1" x="1179"/>
        <item m="1" x="20"/>
        <item m="1" x="734"/>
        <item m="1" x="821"/>
        <item m="1" x="1810"/>
        <item m="1" x="1859"/>
        <item m="1" x="588"/>
        <item m="1" x="1123"/>
        <item m="1" x="536"/>
        <item m="1" x="1709"/>
        <item m="1" x="873"/>
        <item m="1" x="83"/>
        <item m="1" x="1986"/>
        <item m="1" x="1757"/>
        <item m="1" x="644"/>
        <item m="1" x="794"/>
        <item m="1" x="1226"/>
        <item m="1" x="86"/>
        <item m="1" x="1902"/>
        <item m="1" x="1045"/>
        <item m="1" x="691"/>
        <item m="1" x="1439"/>
        <item m="1" x="1246"/>
        <item m="1" x="2005"/>
        <item m="1" x="870"/>
        <item m="1" x="360"/>
        <item m="1" x="883"/>
        <item m="1" x="946"/>
        <item m="1" x="957"/>
        <item m="1" x="491"/>
        <item m="1" x="1884"/>
        <item m="1" x="1781"/>
        <item m="1" x="1425"/>
        <item m="1" x="1392"/>
        <item m="1" x="118"/>
        <item m="1" x="605"/>
        <item m="1" x="398"/>
        <item m="1" x="1786"/>
        <item m="1" x="1430"/>
        <item m="1" x="782"/>
        <item m="1" x="959"/>
        <item m="1" x="262"/>
        <item m="1" x="627"/>
        <item m="1" x="1685"/>
        <item m="1" x="1070"/>
        <item m="1" x="1844"/>
        <item m="1" x="66"/>
        <item m="1" x="246"/>
        <item m="1" x="113"/>
        <item m="1" x="425"/>
        <item m="1" x="1576"/>
        <item m="1" x="880"/>
        <item m="1" x="474"/>
        <item m="1" x="819"/>
        <item m="1" x="849"/>
        <item m="1" x="1984"/>
        <item m="1" x="490"/>
        <item m="1" x="366"/>
        <item m="1" x="1818"/>
        <item m="1" x="1010"/>
        <item m="1" x="2016"/>
        <item m="1" x="1110"/>
        <item m="1" x="784"/>
        <item m="1" x="660"/>
        <item m="1" x="930"/>
        <item m="1" x="1131"/>
        <item m="1" x="566"/>
        <item m="1" x="823"/>
        <item m="1" x="1956"/>
        <item m="1" x="1209"/>
        <item m="1" x="1475"/>
        <item m="1" x="503"/>
        <item m="1" x="186"/>
        <item m="1" x="189"/>
        <item m="1" x="572"/>
        <item m="1" x="1342"/>
        <item m="1" x="136"/>
        <item m="1" x="1756"/>
        <item m="1" x="10"/>
        <item m="1" x="739"/>
        <item m="1" x="1539"/>
        <item m="1" x="606"/>
        <item m="1" x="295"/>
        <item m="1" x="73"/>
        <item m="1" x="1487"/>
        <item m="1" x="494"/>
        <item m="1" x="457"/>
        <item m="1" x="212"/>
        <item m="1" x="38"/>
        <item m="1" x="111"/>
        <item m="1" x="1723"/>
        <item m="1" x="1485"/>
        <item m="1" x="1301"/>
        <item m="1" x="951"/>
        <item m="1" x="888"/>
        <item m="1" x="1968"/>
        <item m="1" x="527"/>
        <item m="1" x="1424"/>
        <item m="1" x="16"/>
        <item m="1" x="181"/>
        <item m="1" x="143"/>
        <item m="1" x="1177"/>
        <item m="1" x="2000"/>
        <item m="1" x="632"/>
        <item m="1" x="409"/>
        <item m="1" x="1403"/>
        <item m="1" x="1847"/>
        <item m="1" x="1548"/>
        <item m="1" x="125"/>
        <item m="1" x="1868"/>
        <item x="4"/>
        <item m="1" x="84"/>
        <item m="1" x="446"/>
        <item m="1" x="217"/>
        <item m="1" x="1587"/>
        <item m="1" x="1879"/>
        <item m="1" x="680"/>
        <item m="1" x="133"/>
        <item m="1" x="723"/>
        <item m="1" x="1007"/>
        <item m="1" x="541"/>
        <item m="1" x="564"/>
        <item m="1" x="1638"/>
        <item m="1" x="1505"/>
        <item m="1" x="1553"/>
        <item m="1" x="529"/>
        <item m="1" x="1465"/>
        <item m="1" x="1580"/>
        <item m="1" x="1537"/>
        <item m="1" x="1872"/>
        <item m="1" x="460"/>
        <item m="1" x="1887"/>
        <item m="1" x="1668"/>
        <item m="1" x="1941"/>
        <item m="1" x="907"/>
        <item m="1" x="203"/>
        <item m="1" x="1913"/>
        <item m="1" x="1491"/>
        <item m="1" x="35"/>
        <item m="1" x="138"/>
        <item m="1" x="1869"/>
        <item m="1" x="796"/>
        <item m="1" x="1997"/>
        <item m="1" x="34"/>
        <item m="1" x="1348"/>
        <item m="1" x="918"/>
        <item m="1" x="1264"/>
        <item m="1" x="1830"/>
        <item m="1" x="137"/>
        <item m="1" x="1238"/>
        <item m="1" x="528"/>
        <item m="1" x="690"/>
        <item m="1" x="1783"/>
        <item m="1" x="952"/>
        <item m="1" x="1498"/>
        <item m="1" x="988"/>
        <item m="1" x="667"/>
        <item m="1" x="1379"/>
        <item m="1" x="2014"/>
        <item m="1" x="293"/>
        <item m="1" x="1624"/>
        <item m="1" x="1733"/>
        <item m="1" x="945"/>
        <item m="1" x="532"/>
        <item m="1" x="1560"/>
        <item m="1" x="367"/>
        <item m="1" x="1814"/>
        <item m="1" x="1849"/>
        <item m="1" x="675"/>
        <item m="1" x="377"/>
        <item m="1" x="884"/>
        <item m="1" x="1432"/>
        <item m="1" x="80"/>
        <item m="1" x="1744"/>
        <item m="1" x="518"/>
        <item m="1" x="789"/>
        <item m="1" x="809"/>
        <item m="1" x="416"/>
        <item m="1" x="616"/>
        <item m="1" x="1113"/>
        <item m="1" x="1434"/>
        <item m="1" x="1119"/>
        <item m="1" x="961"/>
        <item m="1" x="1749"/>
        <item m="1" x="204"/>
        <item m="1" x="364"/>
        <item m="1" x="1626"/>
        <item m="1" x="1510"/>
        <item m="1" x="1191"/>
        <item m="1" x="1517"/>
        <item m="1" x="683"/>
        <item m="1" x="1637"/>
        <item m="1" x="842"/>
        <item m="1" x="1261"/>
        <item m="1" x="139"/>
        <item m="1" x="513"/>
        <item m="1" x="638"/>
        <item m="1" x="1009"/>
        <item m="1" x="392"/>
        <item m="1" x="1480"/>
        <item m="1" x="200"/>
        <item m="1" x="465"/>
        <item m="1" x="92"/>
        <item m="1" x="1351"/>
        <item m="1" x="1555"/>
        <item m="1" x="345"/>
        <item m="1" x="647"/>
        <item m="1" x="757"/>
        <item m="1" x="1459"/>
        <item m="1" x="1815"/>
        <item m="1" x="397"/>
        <item m="1" x="725"/>
        <item m="1" x="1401"/>
        <item m="1" x="1167"/>
        <item m="1" x="1284"/>
        <item m="1" x="1094"/>
        <item m="1" x="220"/>
        <item m="1" x="735"/>
        <item m="1" x="1911"/>
        <item m="1" x="838"/>
        <item m="1" x="241"/>
        <item m="1" x="72"/>
        <item m="1" x="1768"/>
        <item m="1" x="1452"/>
        <item m="1" x="835"/>
        <item m="1" x="928"/>
        <item m="1" x="261"/>
        <item m="1" x="192"/>
        <item m="1" x="1367"/>
        <item m="1" x="1665"/>
        <item m="1" x="237"/>
        <item m="1" x="1034"/>
        <item m="1" x="1567"/>
        <item m="1" x="858"/>
        <item m="1" x="581"/>
        <item m="1" x="1399"/>
        <item m="1" x="640"/>
        <item m="1" x="18"/>
        <item m="1" x="1854"/>
        <item m="1" x="208"/>
        <item m="1" x="520"/>
        <item m="1" x="797"/>
        <item m="1" x="467"/>
        <item m="1" x="1310"/>
        <item m="1" x="1592"/>
        <item m="1" x="906"/>
        <item m="1" x="1433"/>
        <item m="1" x="1151"/>
        <item m="1" x="1431"/>
        <item m="1" x="308"/>
        <item m="1" x="1497"/>
        <item m="1" x="1960"/>
        <item m="1" x="1954"/>
        <item m="1" x="1406"/>
        <item m="1" x="672"/>
        <item m="1" x="265"/>
        <item m="1" x="1791"/>
        <item m="1" x="427"/>
        <item m="1" x="895"/>
        <item m="1" x="1717"/>
        <item m="1" x="198"/>
        <item m="1" x="1213"/>
        <item m="1" x="760"/>
        <item m="1" x="1408"/>
        <item m="1" x="290"/>
        <item m="1" x="1932"/>
        <item m="1" x="185"/>
        <item m="1" x="1467"/>
        <item m="1" x="59"/>
        <item m="1" x="808"/>
        <item m="1" x="1474"/>
        <item m="1" x="802"/>
        <item m="1" x="1851"/>
        <item m="1" x="939"/>
        <item m="1" x="344"/>
        <item m="1" x="846"/>
        <item m="1" x="1147"/>
        <item m="1" x="1853"/>
        <item m="1" x="790"/>
        <item m="1" x="1133"/>
        <item m="1" x="1821"/>
        <item m="1" x="1577"/>
        <item m="1" x="1111"/>
        <item m="1" x="1149"/>
        <item m="1" x="1288"/>
        <item m="1" x="9"/>
        <item m="1" x="1040"/>
        <item m="1" x="1518"/>
        <item m="1" x="1712"/>
        <item m="1" x="1378"/>
        <item m="1" x="480"/>
        <item m="1" x="1651"/>
        <item m="1" x="1980"/>
        <item m="1" x="1850"/>
        <item m="1" x="1248"/>
        <item m="1" x="430"/>
        <item m="1" x="555"/>
        <item m="1" x="701"/>
        <item m="1" x="1249"/>
        <item m="1" x="1660"/>
        <item m="1" x="1293"/>
        <item m="1" x="1272"/>
        <item m="1" x="62"/>
        <item m="1" x="1391"/>
        <item m="1" x="402"/>
        <item m="1" x="707"/>
        <item m="1" x="786"/>
        <item m="1" x="1959"/>
        <item m="1" x="1735"/>
        <item m="1" x="1728"/>
        <item m="1" x="1833"/>
        <item m="1" x="1558"/>
        <item m="1" x="875"/>
        <item m="1" x="178"/>
        <item m="1" x="1534"/>
        <item m="1" x="747"/>
        <item m="1" x="1706"/>
        <item m="1" x="255"/>
        <item m="1" x="436"/>
        <item m="1" x="986"/>
        <item m="1" x="1753"/>
        <item m="1" x="1862"/>
        <item m="1" x="582"/>
        <item m="1" x="458"/>
        <item m="1" x="859"/>
        <item m="1" x="488"/>
        <item m="1" x="1865"/>
        <item m="1" x="1363"/>
        <item m="1" x="67"/>
        <item m="1" x="915"/>
        <item m="1" x="866"/>
        <item m="1" x="1566"/>
        <item m="1" x="132"/>
        <item m="1" x="107"/>
        <item m="1" x="422"/>
        <item m="1" x="1727"/>
        <item m="1" x="1531"/>
        <item m="1" x="1069"/>
        <item m="1" x="452"/>
        <item m="1" x="1062"/>
        <item m="1" x="248"/>
        <item m="1" x="1594"/>
        <item m="1" x="1121"/>
        <item m="1" x="25"/>
        <item m="1" x="1569"/>
        <item m="1" x="1519"/>
        <item m="1" x="1230"/>
        <item m="1" x="1769"/>
        <item m="1" x="183"/>
        <item m="1" x="1072"/>
        <item m="1" x="1182"/>
        <item m="1" x="17"/>
        <item m="1" x="1330"/>
        <item m="1" x="353"/>
        <item m="1" x="23"/>
        <item m="1" x="973"/>
        <item m="1" x="1279"/>
        <item m="1" x="932"/>
        <item m="1" x="1124"/>
        <item m="1" x="535"/>
        <item m="1" x="1888"/>
        <item m="1" x="1346"/>
        <item m="1" x="1405"/>
        <item m="1" x="1523"/>
        <item m="1" x="1579"/>
        <item m="1" x="52"/>
        <item m="1" x="1987"/>
        <item m="1" x="955"/>
        <item m="1" x="1024"/>
        <item m="1" x="1671"/>
        <item m="1" x="506"/>
        <item m="1" x="1538"/>
        <item m="1" x="445"/>
        <item m="1" x="1896"/>
        <item m="1" x="1946"/>
        <item m="1" x="1273"/>
        <item m="1" x="131"/>
        <item m="1" x="32"/>
        <item m="1" x="1115"/>
        <item m="1" x="584"/>
        <item m="1" x="1601"/>
        <item m="1" x="284"/>
        <item m="1" x="1764"/>
        <item m="1" x="538"/>
        <item m="1" x="63"/>
        <item m="1" x="1836"/>
        <item m="1" x="1015"/>
        <item m="1" x="1758"/>
        <item m="1" x="1630"/>
        <item m="1" x="534"/>
        <item m="1" x="1217"/>
        <item m="1" x="1511"/>
        <item m="1" x="359"/>
        <item m="1" x="1488"/>
        <item m="1" x="309"/>
        <item m="1" x="1414"/>
        <item m="1" x="1437"/>
        <item m="1" x="938"/>
        <item m="1" x="510"/>
        <item m="1" x="1224"/>
        <item m="1" x="1154"/>
        <item m="1" x="226"/>
        <item m="1" x="1801"/>
        <item m="1" x="1604"/>
        <item m="1" x="867"/>
        <item m="1" x="696"/>
        <item m="1" x="2003"/>
        <item m="1" x="1793"/>
        <item m="1" x="709"/>
        <item m="1" x="654"/>
        <item m="1" x="346"/>
        <item m="1" x="112"/>
        <item m="1" x="911"/>
        <item m="1" x="1656"/>
        <item m="1" x="1049"/>
        <item m="1" x="1328"/>
        <item m="1" x="1174"/>
        <item m="1" x="745"/>
        <item m="1" x="1848"/>
        <item m="1" x="533"/>
        <item m="1" x="1507"/>
        <item m="1" x="1866"/>
        <item m="1" x="935"/>
        <item m="1" x="420"/>
        <item m="1" x="1962"/>
        <item m="1" x="64"/>
        <item m="1" x="591"/>
        <item m="1" x="624"/>
        <item m="1" x="662"/>
        <item m="1" x="539"/>
        <item m="1" x="741"/>
        <item m="1" x="1649"/>
        <item m="1" x="1360"/>
        <item m="1" x="1141"/>
        <item m="1" x="1779"/>
        <item m="1" x="1772"/>
        <item m="1" x="1812"/>
        <item m="1" x="1612"/>
        <item m="1" x="792"/>
        <item m="1" x="674"/>
        <item m="1" x="2006"/>
        <item m="1" x="1000"/>
        <item m="1" x="1870"/>
        <item m="1" x="1469"/>
        <item m="1" x="1792"/>
        <item m="1" x="1697"/>
        <item m="1" x="492"/>
        <item m="1" x="697"/>
        <item m="1" x="557"/>
        <item m="1" x="999"/>
        <item m="1" x="752"/>
        <item m="1" x="1738"/>
        <item m="1" x="1714"/>
        <item m="1" x="250"/>
        <item m="1" x="1627"/>
        <item m="1" x="1493"/>
        <item m="1" x="412"/>
        <item m="1" x="501"/>
        <item m="1" x="756"/>
        <item m="1" x="1066"/>
        <item m="1" x="1250"/>
        <item m="1" x="593"/>
        <item m="1" x="1323"/>
        <item m="1" x="469"/>
        <item m="1" x="1514"/>
        <item m="1" x="1093"/>
        <item m="1" x="163"/>
        <item m="1" x="586"/>
        <item m="1" x="1255"/>
        <item m="1" x="755"/>
        <item m="1" x="1861"/>
        <item m="1" x="1126"/>
        <item m="1" x="1396"/>
        <item m="1" x="960"/>
        <item m="1" x="548"/>
        <item m="1" x="105"/>
        <item m="1" x="1112"/>
        <item m="1" x="1393"/>
        <item m="1" x="1365"/>
        <item m="1" x="19"/>
        <item m="1" x="820"/>
        <item m="1" x="1054"/>
        <item m="1" x="1415"/>
        <item m="1" x="636"/>
        <item m="1" x="368"/>
        <item m="1" x="1483"/>
        <item m="1" x="1153"/>
        <item m="1" x="1629"/>
        <item m="1" x="969"/>
        <item m="1" x="242"/>
        <item m="1" x="1003"/>
        <item m="1" x="1666"/>
        <item m="1" x="1281"/>
        <item m="1" x="1456"/>
        <item m="1" x="1289"/>
        <item m="1" x="1852"/>
        <item m="1" x="1199"/>
        <item m="1" x="1659"/>
        <item m="1" x="1908"/>
        <item m="1" x="714"/>
        <item m="1" x="1155"/>
        <item m="1" x="949"/>
        <item m="1" x="567"/>
        <item m="1" x="48"/>
        <item m="1" x="589"/>
        <item m="1" x="1494"/>
        <item m="1" x="1773"/>
        <item m="1" x="551"/>
        <item m="1" x="54"/>
        <item m="1" x="171"/>
        <item m="1" x="1183"/>
        <item m="1" x="897"/>
        <item m="1" x="51"/>
        <item m="1" x="1742"/>
        <item m="1" x="1731"/>
        <item m="1" x="395"/>
        <item m="1" x="599"/>
        <item m="1" x="542"/>
        <item m="1" x="1642"/>
        <item m="1" x="437"/>
        <item m="1" x="1937"/>
        <item m="1" x="810"/>
        <item m="1" x="154"/>
        <item m="1" x="2001"/>
        <item m="1" x="74"/>
        <item m="1" x="1325"/>
        <item m="1" x="187"/>
        <item m="1" x="1449"/>
        <item m="1" x="1287"/>
        <item m="1" x="1512"/>
        <item m="1" x="481"/>
        <item m="1" x="451"/>
        <item m="1" x="1914"/>
        <item m="1" x="780"/>
        <item m="1" x="1192"/>
        <item m="1" x="127"/>
        <item m="1" x="1995"/>
        <item m="1" x="921"/>
        <item m="1" x="1267"/>
        <item m="1" x="332"/>
        <item m="1" x="587"/>
        <item m="1" x="637"/>
        <item m="1" x="1142"/>
        <item m="1" x="93"/>
        <item m="1" x="1107"/>
        <item m="1" x="852"/>
        <item m="1" x="1715"/>
        <item m="1" x="321"/>
        <item m="1" x="1489"/>
        <item m="1" x="1232"/>
        <item m="1" x="989"/>
        <item m="1" x="1582"/>
        <item m="1" x="1198"/>
        <item m="1" x="1607"/>
        <item m="1" x="845"/>
        <item m="1" x="339"/>
        <item m="1" x="927"/>
        <item m="1" x="878"/>
        <item m="1" x="1470"/>
        <item m="1" x="1152"/>
        <item m="1" x="1031"/>
        <item m="1" x="352"/>
        <item m="1" x="1047"/>
        <item m="1" x="916"/>
        <item m="1" x="910"/>
        <item m="1" x="1444"/>
        <item m="1" x="1316"/>
        <item m="1" x="1732"/>
        <item m="1" x="704"/>
        <item m="1" x="807"/>
        <item m="1" x="848"/>
        <item m="1" x="117"/>
        <item m="1" x="721"/>
        <item m="1" x="1845"/>
        <item m="1" x="1701"/>
        <item m="1" x="1831"/>
        <item m="1" x="1910"/>
        <item m="1" x="1096"/>
        <item m="1" x="2012"/>
        <item m="1" x="1413"/>
        <item m="1" x="1803"/>
        <item m="1" x="1992"/>
        <item m="1" x="865"/>
        <item m="1" x="236"/>
        <item m="1" x="611"/>
        <item m="1" x="1219"/>
        <item m="1" x="81"/>
        <item m="1" x="11"/>
        <item m="1" x="415"/>
        <item m="1" x="1205"/>
        <item m="1" x="1657"/>
        <item m="1" x="489"/>
        <item m="1" x="1297"/>
        <item m="1" x="1472"/>
        <item m="1" x="396"/>
        <item m="1" x="1370"/>
        <item m="1" x="881"/>
        <item m="1" x="103"/>
        <item m="1" x="573"/>
        <item m="1" x="1020"/>
        <item m="1" x="1526"/>
        <item m="1" x="165"/>
        <item m="1" x="524"/>
        <item m="1" x="979"/>
        <item m="1" x="1005"/>
        <item m="1" x="1326"/>
        <item m="1" x="1882"/>
        <item m="1" x="731"/>
        <item m="1" x="603"/>
        <item m="1" x="863"/>
        <item m="1" x="311"/>
        <item m="1" x="31"/>
        <item m="1" x="483"/>
        <item m="1" x="1376"/>
        <item m="1" x="738"/>
        <item m="1" x="992"/>
        <item m="1" x="1451"/>
        <item m="1" x="1807"/>
        <item m="1" x="478"/>
        <item m="1" x="652"/>
        <item m="1" x="1163"/>
        <item m="1" x="1042"/>
        <item m="1" x="604"/>
        <item m="1" x="583"/>
        <item m="1" x="1881"/>
        <item m="1" x="456"/>
        <item m="1" x="827"/>
        <item m="1" x="193"/>
        <item m="1" x="1372"/>
        <item m="1" x="1976"/>
        <item m="1" x="1752"/>
        <item m="1" x="894"/>
        <item m="1" x="1043"/>
        <item m="1" x="1499"/>
        <item m="1" x="1039"/>
        <item m="1" x="1257"/>
        <item m="1" x="1134"/>
        <item m="1" x="879"/>
        <item m="1" x="1143"/>
        <item m="1" x="211"/>
        <item m="1" x="1725"/>
        <item m="1" x="706"/>
        <item m="1" x="1541"/>
        <item m="1" x="1420"/>
        <item m="1" x="96"/>
        <item m="1" x="1617"/>
        <item m="1" x="334"/>
        <item m="1" x="1653"/>
        <item m="1" x="1605"/>
        <item m="1" x="97"/>
        <item m="1" x="1048"/>
        <item m="1" x="313"/>
        <item m="1" x="898"/>
        <item m="1" x="1654"/>
        <item m="1" x="24"/>
        <item m="1" x="482"/>
        <item m="1" x="736"/>
        <item m="1" x="1696"/>
        <item m="1" x="65"/>
        <item m="1" x="385"/>
        <item m="1" x="1426"/>
        <item m="1" x="1341"/>
        <item m="1" x="1477"/>
        <item m="1" x="965"/>
        <item m="1" x="1427"/>
        <item m="1" x="1809"/>
        <item m="1" x="1109"/>
        <item m="1" x="1964"/>
        <item m="1" x="994"/>
        <item m="1" x="1428"/>
        <item m="1" x="314"/>
        <item m="1" x="1160"/>
        <item m="1" x="400"/>
        <item m="1" x="1931"/>
        <item m="1" x="1953"/>
        <item m="1" x="1720"/>
        <item m="1" x="282"/>
        <item m="1" x="1644"/>
        <item m="1" x="1958"/>
        <item m="1" x="384"/>
        <item m="1" x="156"/>
        <item m="1" x="1646"/>
        <item m="1" x="85"/>
        <item m="1" x="1004"/>
        <item m="1" x="630"/>
        <item m="1" x="1621"/>
        <item m="1" x="30"/>
        <item m="1" x="1270"/>
        <item m="1" x="1944"/>
        <item m="1" x="356"/>
        <item m="1" x="1676"/>
        <item m="1" x="822"/>
        <item m="1" x="27"/>
        <item m="1" x="1857"/>
        <item m="1" x="102"/>
        <item m="1" x="1461"/>
        <item m="1" x="995"/>
        <item m="1" x="76"/>
        <item m="1" x="209"/>
        <item m="1" x="1090"/>
        <item m="1" x="495"/>
        <item m="1" x="1313"/>
        <item m="1" x="1097"/>
        <item m="1" x="874"/>
        <item m="1" x="869"/>
        <item m="1" x="1092"/>
        <item m="1" x="1162"/>
        <item m="1" x="1599"/>
        <item m="1" x="600"/>
        <item m="1" x="1591"/>
        <item m="1" x="201"/>
        <item m="1" x="641"/>
        <item m="1" x="1295"/>
        <item m="1" x="1385"/>
        <item m="1" x="479"/>
        <item m="1" x="1765"/>
        <item m="1" x="1883"/>
        <item m="1" x="1610"/>
        <item m="1" x="1770"/>
        <item m="1" x="563"/>
        <item m="1" x="799"/>
        <item m="1" x="909"/>
        <item m="1" x="1590"/>
        <item m="1" x="553"/>
        <item m="1" x="1460"/>
        <item m="1" x="2004"/>
        <item m="1" x="1816"/>
        <item m="1" x="497"/>
        <item m="1" x="1127"/>
        <item m="1" x="1418"/>
        <item m="1" x="1652"/>
        <item m="1" x="1181"/>
        <item m="1" x="499"/>
        <item m="1" x="141"/>
        <item m="1" x="1419"/>
        <item m="1" x="1574"/>
        <item m="1" x="1950"/>
        <item m="1" x="1473"/>
        <item m="1" x="700"/>
        <item m="1" x="1188"/>
        <item m="1" x="1863"/>
        <item m="1" x="762"/>
        <item m="1" x="1350"/>
        <item m="1" x="134"/>
        <item m="1" x="829"/>
        <item m="1" x="177"/>
        <item m="1" x="1983"/>
        <item m="1" x="1478"/>
        <item m="1" x="1916"/>
        <item m="1" x="276"/>
        <item m="1" x="1559"/>
        <item m="1" x="443"/>
        <item m="1" x="800"/>
        <item m="1" x="1315"/>
        <item m="1" x="216"/>
        <item m="1" x="419"/>
        <item m="1" x="375"/>
        <item m="1" x="1168"/>
        <item m="1" x="1787"/>
        <item m="1" x="124"/>
        <item m="1" x="1013"/>
        <item m="1" x="7"/>
        <item m="1" x="1921"/>
        <item m="1" x="1806"/>
        <item m="1" x="610"/>
        <item m="1" x="1975"/>
        <item m="1" x="1677"/>
        <item m="1" x="890"/>
        <item m="1" x="1055"/>
        <item m="1" x="1788"/>
        <item m="1" x="558"/>
        <item m="1" x="119"/>
        <item m="1" x="523"/>
        <item m="1" x="791"/>
        <item m="1" x="577"/>
        <item m="1" x="1206"/>
        <item m="1" x="179"/>
        <item m="1" x="1340"/>
        <item m="1" x="688"/>
        <item m="1" x="46"/>
        <item m="1" x="1645"/>
        <item m="1" x="403"/>
        <item m="1" x="2011"/>
        <item m="1" x="1572"/>
        <item m="1" x="1933"/>
        <item m="1" x="1667"/>
        <item m="1" x="1540"/>
        <item m="1" x="1699"/>
        <item m="1" x="476"/>
        <item m="1" x="775"/>
        <item m="1" x="1763"/>
        <item m="1" x="940"/>
        <item m="1" x="568"/>
        <item m="1" x="327"/>
        <item m="1" x="1436"/>
        <item m="1" x="1164"/>
        <item m="1" x="1362"/>
        <item m="1" x="569"/>
        <item m="1" x="876"/>
        <item m="1" x="559"/>
        <item m="1" x="1951"/>
        <item m="1" x="477"/>
        <item m="1" x="570"/>
        <item m="1" x="715"/>
        <item m="1" x="716"/>
        <item m="1" x="580"/>
        <item m="1" x="552"/>
        <item m="1" x="1970"/>
        <item m="1" x="1140"/>
        <item m="1" x="1210"/>
        <item m="1" x="507"/>
        <item m="1" x="421"/>
        <item m="1" x="1527"/>
        <item m="1" x="773"/>
        <item m="1" x="267"/>
        <item m="1" x="94"/>
        <item m="1" x="1455"/>
        <item m="1" x="257"/>
        <item m="1" x="1022"/>
        <item m="1" x="1202"/>
        <item m="1" x="1988"/>
        <item m="1" x="1276"/>
        <item m="1" x="663"/>
        <item m="1" x="977"/>
        <item m="1" x="401"/>
        <item m="1" x="1824"/>
        <item m="1" x="1001"/>
        <item m="1" x="1928"/>
        <item m="1" x="1965"/>
        <item m="1" x="1161"/>
        <item m="1" x="1371"/>
        <item m="1" x="990"/>
        <item m="1" x="1929"/>
        <item m="1" x="634"/>
        <item m="1" x="442"/>
        <item m="1" x="1880"/>
        <item m="1" x="658"/>
        <item m="1" x="152"/>
        <item m="1" x="851"/>
        <item m="1" x="671"/>
        <item m="1" x="1963"/>
        <item m="1" x="805"/>
        <item m="1" x="1529"/>
        <item m="1" x="893"/>
        <item m="1" x="144"/>
        <item m="1" x="440"/>
        <item m="1" x="1549"/>
        <item m="1" x="2015"/>
        <item m="1" x="1820"/>
        <item m="1" x="91"/>
        <item m="1" x="1384"/>
        <item m="1" x="1784"/>
        <item m="1" x="661"/>
        <item m="1" x="781"/>
        <item m="1" x="263"/>
        <item m="1" x="205"/>
        <item m="1" x="941"/>
        <item m="1" x="926"/>
        <item m="1" x="287"/>
        <item m="1" x="1673"/>
        <item m="1" x="296"/>
        <item m="1" x="834"/>
        <item m="1" x="1271"/>
        <item m="1" x="169"/>
        <item m="1" x="228"/>
        <item m="1" x="598"/>
        <item m="1" x="1724"/>
        <item m="1" x="1068"/>
        <item m="1" x="1804"/>
        <item m="1" x="1446"/>
        <item m="1" x="1575"/>
        <item m="1" x="740"/>
        <item m="1" x="1383"/>
        <item m="1" x="619"/>
        <item m="1" x="116"/>
        <item m="1" x="292"/>
        <item m="1" x="608"/>
        <item m="1" x="1453"/>
        <item m="1" x="2008"/>
        <item m="1" x="1619"/>
        <item m="1" x="1035"/>
        <item m="1" x="625"/>
        <item m="1" x="1207"/>
        <item m="1" x="1102"/>
        <item m="1" x="433"/>
        <item m="1" x="108"/>
        <item m="1" x="1663"/>
        <item m="1" x="934"/>
        <item m="1" x="408"/>
        <item m="1" x="371"/>
        <item m="1" x="1917"/>
        <item m="1" x="1320"/>
        <item m="1" x="504"/>
        <item m="1" x="79"/>
        <item m="1" x="1827"/>
        <item m="1" x="1640"/>
        <item m="1" x="331"/>
        <item m="1" x="1674"/>
        <item m="1" x="816"/>
        <item m="1" x="1903"/>
        <item m="1" x="1322"/>
        <item m="1" x="1336"/>
        <item m="1" x="1598"/>
        <item m="1" x="776"/>
        <item m="1" x="1698"/>
        <item m="1" x="659"/>
        <item m="1" x="1329"/>
        <item m="1" x="286"/>
        <item m="1" x="1606"/>
        <item m="1" x="1721"/>
        <item m="1" x="1521"/>
        <item m="1" x="585"/>
        <item m="1" x="104"/>
        <item m="1" x="1056"/>
        <item m="1" x="947"/>
        <item m="1" x="1026"/>
        <item m="1" x="15"/>
        <item m="1" x="1713"/>
        <item m="1" x="730"/>
        <item m="1" x="1789"/>
        <item m="1" x="182"/>
        <item m="1" x="982"/>
        <item m="1" x="512"/>
        <item m="1" x="1966"/>
        <item m="1" x="1618"/>
        <item m="1" x="319"/>
        <item m="1" x="340"/>
        <item m="1" x="1132"/>
        <item m="1" x="710"/>
        <item m="1" x="1802"/>
        <item m="1" x="919"/>
        <item m="1" x="351"/>
        <item m="1" x="1754"/>
        <item m="1" x="547"/>
        <item m="1" x="266"/>
        <item m="1" x="1212"/>
        <item m="1" x="1220"/>
        <item m="1" x="462"/>
        <item m="1" x="1128"/>
        <item m="1" x="1611"/>
        <item m="1" x="1930"/>
        <item m="1" x="158"/>
        <item m="1" x="1357"/>
        <item m="1" x="1509"/>
        <item m="1" x="1634"/>
        <item m="1" x="404"/>
        <item m="1" x="546"/>
        <item m="1" x="687"/>
        <item m="1" x="129"/>
        <item m="1" x="1103"/>
        <item m="1" x="689"/>
        <item m="1" x="1947"/>
        <item m="1" x="227"/>
        <item m="1" x="180"/>
        <item m="1" x="1203"/>
        <item m="1" x="1429"/>
        <item m="1" x="323"/>
        <item m="1" x="1304"/>
        <item m="1" x="549"/>
        <item m="1" x="1101"/>
        <item m="1" x="1016"/>
        <item m="1" x="232"/>
        <item m="1" x="826"/>
        <item m="1" x="732"/>
        <item m="1" x="711"/>
        <item m="1" x="1689"/>
        <item m="1" x="1366"/>
        <item m="1" x="1955"/>
        <item m="1" x="931"/>
        <item m="1" x="664"/>
        <item m="1" x="1381"/>
        <item m="1" x="1542"/>
        <item m="1" x="847"/>
        <item m="1" x="229"/>
        <item m="1" x="639"/>
        <item m="1" x="1240"/>
        <item m="1" x="2007"/>
        <item m="1" x="207"/>
        <item m="1" x="754"/>
        <item m="1" x="1088"/>
        <item m="1" x="312"/>
        <item m="1" x="785"/>
        <item m="1" x="1361"/>
        <item m="1" x="1231"/>
        <item m="1" x="1999"/>
        <item m="1" x="1484"/>
        <item m="1" x="1479"/>
        <item m="1" x="56"/>
        <item m="1" x="970"/>
        <item m="1" x="717"/>
        <item m="1" x="887"/>
        <item m="1" x="685"/>
        <item m="1" x="1622"/>
        <item m="1" x="223"/>
        <item m="1" x="1421"/>
        <item m="1" x="922"/>
        <item m="1" x="33"/>
        <item m="1" x="758"/>
        <item m="1" x="174"/>
        <item m="1" x="1332"/>
        <item m="1" x="1664"/>
        <item m="1" x="1856"/>
        <item m="1" x="1265"/>
        <item m="1" x="1443"/>
        <item m="1" x="1306"/>
        <item m="1" x="1662"/>
        <item m="1" x="1204"/>
        <item m="1" x="1028"/>
        <item m="1" x="240"/>
        <item m="1" x="1189"/>
        <item m="1" x="1741"/>
        <item m="1" x="191"/>
        <item m="1" x="1878"/>
        <item m="1" x="496"/>
        <item m="1" x="1730"/>
        <item m="1" x="1625"/>
        <item m="1" x="1305"/>
        <item m="1" x="614"/>
        <item m="1" x="1925"/>
        <item m="1" x="1389"/>
        <item m="1" x="1254"/>
        <item m="1" x="168"/>
        <item m="1" x="855"/>
        <item m="1" x="379"/>
        <item m="1" x="530"/>
        <item m="1" x="1044"/>
        <item m="1" x="1586"/>
        <item m="1" x="1125"/>
        <item m="1" x="1703"/>
        <item m="1" x="1906"/>
        <item m="1" x="1086"/>
        <item m="1" x="1196"/>
        <item m="1" x="1840"/>
        <item m="1" x="1060"/>
        <item m="1" x="972"/>
        <item m="1" x="1440"/>
        <item m="1" x="1974"/>
        <item m="1" x="1530"/>
        <item m="1" x="1285"/>
        <item m="1" x="746"/>
        <item m="1" x="1262"/>
        <item m="1" x="1318"/>
        <item m="1" x="1355"/>
        <item m="1" x="1275"/>
        <item m="1" x="1546"/>
        <item m="1" x="1832"/>
        <item m="1" x="1397"/>
        <item m="1" x="1774"/>
        <item m="1" x="1438"/>
        <item m="1" x="1524"/>
        <item x="0"/>
        <item x="1"/>
        <item x="2"/>
        <item x="3"/>
        <item x="5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2">
    <field x="0"/>
    <field x="2"/>
  </rowFields>
  <rowItems count="13">
    <i>
      <x/>
    </i>
    <i r="1">
      <x v="2016"/>
    </i>
    <i>
      <x v="4"/>
    </i>
    <i r="1">
      <x v="2017"/>
    </i>
    <i>
      <x v="5"/>
    </i>
    <i r="1">
      <x/>
    </i>
    <i>
      <x v="6"/>
    </i>
    <i r="1">
      <x v="2013"/>
    </i>
    <i>
      <x v="7"/>
    </i>
    <i r="1">
      <x v="2015"/>
    </i>
    <i>
      <x v="9"/>
    </i>
    <i r="1">
      <x v="2014"/>
    </i>
    <i t="grand">
      <x/>
    </i>
  </rowItems>
  <colFields count="1">
    <field x="-2"/>
  </colFields>
  <colItems count="2">
    <i>
      <x/>
    </i>
    <i i="1">
      <x v="1"/>
    </i>
  </colItems>
  <dataFields count="2">
    <dataField name=" Capacity" fld="8" baseField="0" baseItem="0"/>
    <dataField name=" Occupancy" fld="1" baseField="0" baseItem="0"/>
  </dataFields>
  <formats count="9">
    <format dxfId="8">
      <pivotArea collapsedLevelsAreSubtotals="1" fieldPosition="0">
        <references count="2">
          <reference field="4294967294" count="1" selected="0">
            <x v="1"/>
          </reference>
          <reference field="0" count="1">
            <x v="6"/>
          </reference>
        </references>
      </pivotArea>
    </format>
    <format dxfId="7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"/>
          </reference>
          <reference field="0" count="1">
            <x v="7"/>
          </reference>
        </references>
      </pivotArea>
    </format>
    <format dxfId="5">
      <pivotArea dataOnly="0" labelOnly="1" fieldPosition="0">
        <references count="2">
          <reference field="0" count="1" selected="0">
            <x v="6"/>
          </reference>
          <reference field="2" count="1">
            <x v="7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1"/>
          </reference>
          <reference field="0" count="1">
            <x v="2"/>
          </reference>
        </references>
      </pivotArea>
    </format>
    <format dxfId="3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>
            <x v="13"/>
          </reference>
        </references>
      </pivotArea>
    </format>
    <format dxfId="2">
      <pivotArea dataOnly="0" labelOnly="1" fieldPosition="0">
        <references count="2">
          <reference field="0" count="1" selected="0">
            <x v="5"/>
          </reference>
          <reference field="2" count="1">
            <x v="0"/>
          </reference>
        </references>
      </pivotArea>
    </format>
    <format dxfId="1">
      <pivotArea dataOnly="0" labelOnly="1" fieldPosition="0">
        <references count="2">
          <reference field="0" count="1" selected="0">
            <x v="6"/>
          </reference>
          <reference field="2" count="1">
            <x v="109"/>
          </reference>
        </references>
      </pivotArea>
    </format>
    <format dxfId="0">
      <pivotArea dataOnly="0" labelOnly="1" fieldPosition="0">
        <references count="2">
          <reference field="0" count="1" selected="0">
            <x v="7"/>
          </reference>
          <reference field="2" count="1">
            <x v="169"/>
          </reference>
        </references>
      </pivotArea>
    </format>
  </formats>
  <chartFormats count="1707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1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2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5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5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6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7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7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8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9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10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11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12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13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14"/>
          </reference>
        </references>
      </pivotArea>
    </chartFormat>
    <chartFormat chart="101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1" format="2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1" format="2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1" format="29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101" format="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1" format="3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1" format="32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14"/>
          </reference>
        </references>
      </pivotArea>
    </chartFormat>
    <chartFormat chart="101" format="3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16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17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18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19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21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22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24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23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7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25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26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9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28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30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32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1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33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36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4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35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38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7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39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41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0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2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3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4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46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5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47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49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8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50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53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54"/>
          </reference>
        </references>
      </pivotArea>
    </chartFormat>
    <chartFormat chart="0" format="64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51"/>
          </reference>
        </references>
      </pivotArea>
    </chartFormat>
    <chartFormat chart="0" format="6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52"/>
          </reference>
        </references>
      </pivotArea>
    </chartFormat>
    <chartFormat chart="0" format="66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56"/>
          </reference>
        </references>
      </pivotArea>
    </chartFormat>
    <chartFormat chart="0" format="67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55"/>
          </reference>
        </references>
      </pivotArea>
    </chartFormat>
    <chartFormat chart="0" format="68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58"/>
          </reference>
        </references>
      </pivotArea>
    </chartFormat>
    <chartFormat chart="0" format="6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59"/>
          </reference>
        </references>
      </pivotArea>
    </chartFormat>
    <chartFormat chart="0" format="7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57"/>
          </reference>
        </references>
      </pivotArea>
    </chartFormat>
    <chartFormat chart="0" format="7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0"/>
          </reference>
        </references>
      </pivotArea>
    </chartFormat>
    <chartFormat chart="0" format="7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3"/>
          </reference>
        </references>
      </pivotArea>
    </chartFormat>
    <chartFormat chart="0" format="7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61"/>
          </reference>
        </references>
      </pivotArea>
    </chartFormat>
    <chartFormat chart="0" format="74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62"/>
          </reference>
        </references>
      </pivotArea>
    </chartFormat>
    <chartFormat chart="0" format="7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4"/>
          </reference>
        </references>
      </pivotArea>
    </chartFormat>
    <chartFormat chart="0" format="7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7"/>
          </reference>
        </references>
      </pivotArea>
    </chartFormat>
    <chartFormat chart="0" format="77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66"/>
          </reference>
        </references>
      </pivotArea>
    </chartFormat>
    <chartFormat chart="0" format="78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65"/>
          </reference>
        </references>
      </pivotArea>
    </chartFormat>
    <chartFormat chart="0" format="7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68"/>
          </reference>
        </references>
      </pivotArea>
    </chartFormat>
    <chartFormat chart="0" format="80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69"/>
          </reference>
        </references>
      </pivotArea>
    </chartFormat>
    <chartFormat chart="0" format="8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1"/>
          </reference>
        </references>
      </pivotArea>
    </chartFormat>
    <chartFormat chart="0" format="82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70"/>
          </reference>
        </references>
      </pivotArea>
    </chartFormat>
    <chartFormat chart="0" format="8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3"/>
          </reference>
        </references>
      </pivotArea>
    </chartFormat>
    <chartFormat chart="0" format="84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74"/>
          </reference>
        </references>
      </pivotArea>
    </chartFormat>
    <chartFormat chart="0" format="8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5"/>
          </reference>
        </references>
      </pivotArea>
    </chartFormat>
    <chartFormat chart="0" format="8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2"/>
          </reference>
        </references>
      </pivotArea>
    </chartFormat>
    <chartFormat chart="0" format="87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7"/>
          </reference>
        </references>
      </pivotArea>
    </chartFormat>
    <chartFormat chart="0" format="88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78"/>
          </reference>
        </references>
      </pivotArea>
    </chartFormat>
    <chartFormat chart="0" format="8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9"/>
          </reference>
        </references>
      </pivotArea>
    </chartFormat>
    <chartFormat chart="0" format="9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6"/>
          </reference>
        </references>
      </pivotArea>
    </chartFormat>
    <chartFormat chart="0" format="9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0"/>
          </reference>
        </references>
      </pivotArea>
    </chartFormat>
    <chartFormat chart="0" format="9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3"/>
          </reference>
        </references>
      </pivotArea>
    </chartFormat>
    <chartFormat chart="0" format="9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1"/>
          </reference>
        </references>
      </pivotArea>
    </chartFormat>
    <chartFormat chart="0" format="94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82"/>
          </reference>
        </references>
      </pivotArea>
    </chartFormat>
    <chartFormat chart="0" format="95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5"/>
          </reference>
        </references>
      </pivotArea>
    </chartFormat>
    <chartFormat chart="0" format="9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7"/>
          </reference>
        </references>
      </pivotArea>
    </chartFormat>
    <chartFormat chart="0" format="9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4"/>
          </reference>
        </references>
      </pivotArea>
    </chartFormat>
    <chartFormat chart="0" format="9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8"/>
          </reference>
        </references>
      </pivotArea>
    </chartFormat>
    <chartFormat chart="0" format="9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1"/>
          </reference>
        </references>
      </pivotArea>
    </chartFormat>
    <chartFormat chart="0" format="100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9"/>
          </reference>
        </references>
      </pivotArea>
    </chartFormat>
    <chartFormat chart="0" format="10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3"/>
          </reference>
        </references>
      </pivotArea>
    </chartFormat>
    <chartFormat chart="0" format="10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5"/>
          </reference>
        </references>
      </pivotArea>
    </chartFormat>
    <chartFormat chart="0" format="10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2"/>
          </reference>
        </references>
      </pivotArea>
    </chartFormat>
    <chartFormat chart="0" format="10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6"/>
          </reference>
        </references>
      </pivotArea>
    </chartFormat>
    <chartFormat chart="0" format="10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9"/>
          </reference>
        </references>
      </pivotArea>
    </chartFormat>
    <chartFormat chart="0" format="10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7"/>
          </reference>
        </references>
      </pivotArea>
    </chartFormat>
    <chartFormat chart="0" format="107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01"/>
          </reference>
        </references>
      </pivotArea>
    </chartFormat>
    <chartFormat chart="0" format="10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03"/>
          </reference>
        </references>
      </pivotArea>
    </chartFormat>
    <chartFormat chart="0" format="10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00"/>
          </reference>
        </references>
      </pivotArea>
    </chartFormat>
    <chartFormat chart="0" format="110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06"/>
          </reference>
        </references>
      </pivotArea>
    </chartFormat>
    <chartFormat chart="0" format="11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08"/>
          </reference>
        </references>
      </pivotArea>
    </chartFormat>
    <chartFormat chart="0" format="112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104"/>
          </reference>
        </references>
      </pivotArea>
    </chartFormat>
    <chartFormat chart="0" format="11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05"/>
          </reference>
        </references>
      </pivotArea>
    </chartFormat>
    <chartFormat chart="0" format="11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13"/>
          </reference>
        </references>
      </pivotArea>
    </chartFormat>
    <chartFormat chart="0" format="115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109"/>
          </reference>
        </references>
      </pivotArea>
    </chartFormat>
    <chartFormat chart="0" format="11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10"/>
          </reference>
        </references>
      </pivotArea>
    </chartFormat>
    <chartFormat chart="0" format="11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17"/>
          </reference>
        </references>
      </pivotArea>
    </chartFormat>
    <chartFormat chart="0" format="11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14"/>
          </reference>
        </references>
      </pivotArea>
    </chartFormat>
    <chartFormat chart="0" format="119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15"/>
          </reference>
        </references>
      </pivotArea>
    </chartFormat>
    <chartFormat chart="0" format="120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118"/>
          </reference>
        </references>
      </pivotArea>
    </chartFormat>
    <chartFormat chart="0" format="12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19"/>
          </reference>
        </references>
      </pivotArea>
    </chartFormat>
    <chartFormat chart="0" format="12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22"/>
          </reference>
        </references>
      </pivotArea>
    </chartFormat>
    <chartFormat chart="0" format="123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123"/>
          </reference>
        </references>
      </pivotArea>
    </chartFormat>
    <chartFormat chart="0" format="12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27"/>
          </reference>
        </references>
      </pivotArea>
    </chartFormat>
    <chartFormat chart="0" format="12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24"/>
          </reference>
        </references>
      </pivotArea>
    </chartFormat>
    <chartFormat chart="0" format="12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29"/>
          </reference>
        </references>
      </pivotArea>
    </chartFormat>
    <chartFormat chart="0" format="12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28"/>
          </reference>
        </references>
      </pivotArea>
    </chartFormat>
    <chartFormat chart="0" format="12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31"/>
          </reference>
        </references>
      </pivotArea>
    </chartFormat>
    <chartFormat chart="0" format="129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132"/>
          </reference>
        </references>
      </pivotArea>
    </chartFormat>
    <chartFormat chart="0" format="13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33"/>
          </reference>
        </references>
      </pivotArea>
    </chartFormat>
    <chartFormat chart="0" format="13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34"/>
          </reference>
        </references>
      </pivotArea>
    </chartFormat>
    <chartFormat chart="0" format="13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37"/>
          </reference>
        </references>
      </pivotArea>
    </chartFormat>
    <chartFormat chart="0" format="13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36"/>
          </reference>
        </references>
      </pivotArea>
    </chartFormat>
    <chartFormat chart="0" format="13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38"/>
          </reference>
        </references>
      </pivotArea>
    </chartFormat>
    <chartFormat chart="0" format="13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41"/>
          </reference>
        </references>
      </pivotArea>
    </chartFormat>
    <chartFormat chart="0" format="13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39"/>
          </reference>
        </references>
      </pivotArea>
    </chartFormat>
    <chartFormat chart="0" format="13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42"/>
          </reference>
        </references>
      </pivotArea>
    </chartFormat>
    <chartFormat chart="0" format="13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45"/>
          </reference>
        </references>
      </pivotArea>
    </chartFormat>
    <chartFormat chart="0" format="139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43"/>
          </reference>
        </references>
      </pivotArea>
    </chartFormat>
    <chartFormat chart="0" format="14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48"/>
          </reference>
        </references>
      </pivotArea>
    </chartFormat>
    <chartFormat chart="0" format="14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46"/>
          </reference>
        </references>
      </pivotArea>
    </chartFormat>
    <chartFormat chart="0" format="14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50"/>
          </reference>
        </references>
      </pivotArea>
    </chartFormat>
    <chartFormat chart="0" format="143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149"/>
          </reference>
        </references>
      </pivotArea>
    </chartFormat>
    <chartFormat chart="0" format="14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53"/>
          </reference>
        </references>
      </pivotArea>
    </chartFormat>
    <chartFormat chart="0" format="145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51"/>
          </reference>
        </references>
      </pivotArea>
    </chartFormat>
    <chartFormat chart="0" format="14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56"/>
          </reference>
        </references>
      </pivotArea>
    </chartFormat>
    <chartFormat chart="0" format="147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154"/>
          </reference>
        </references>
      </pivotArea>
    </chartFormat>
    <chartFormat chart="0" format="148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55"/>
          </reference>
        </references>
      </pivotArea>
    </chartFormat>
    <chartFormat chart="0" format="149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158"/>
          </reference>
        </references>
      </pivotArea>
    </chartFormat>
    <chartFormat chart="0" format="15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61"/>
          </reference>
        </references>
      </pivotArea>
    </chartFormat>
    <chartFormat chart="0" format="15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59"/>
          </reference>
        </references>
      </pivotArea>
    </chartFormat>
    <chartFormat chart="0" format="152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162"/>
          </reference>
        </references>
      </pivotArea>
    </chartFormat>
    <chartFormat chart="0" format="15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65"/>
          </reference>
        </references>
      </pivotArea>
    </chartFormat>
    <chartFormat chart="0" format="154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63"/>
          </reference>
        </references>
      </pivotArea>
    </chartFormat>
    <chartFormat chart="0" format="15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66"/>
          </reference>
        </references>
      </pivotArea>
    </chartFormat>
    <chartFormat chart="0" format="15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68"/>
          </reference>
        </references>
      </pivotArea>
    </chartFormat>
    <chartFormat chart="0" format="15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69"/>
          </reference>
        </references>
      </pivotArea>
    </chartFormat>
    <chartFormat chart="0" format="158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72"/>
          </reference>
        </references>
      </pivotArea>
    </chartFormat>
    <chartFormat chart="0" format="15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76"/>
          </reference>
        </references>
      </pivotArea>
    </chartFormat>
    <chartFormat chart="0" format="160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74"/>
          </reference>
        </references>
      </pivotArea>
    </chartFormat>
    <chartFormat chart="0" format="16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77"/>
          </reference>
        </references>
      </pivotArea>
    </chartFormat>
    <chartFormat chart="0" format="16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80"/>
          </reference>
        </references>
      </pivotArea>
    </chartFormat>
    <chartFormat chart="0" format="16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78"/>
          </reference>
        </references>
      </pivotArea>
    </chartFormat>
    <chartFormat chart="0" format="164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82"/>
          </reference>
        </references>
      </pivotArea>
    </chartFormat>
    <chartFormat chart="0" format="165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84"/>
          </reference>
        </references>
      </pivotArea>
    </chartFormat>
    <chartFormat chart="0" format="16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85"/>
          </reference>
        </references>
      </pivotArea>
    </chartFormat>
    <chartFormat chart="0" format="16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87"/>
          </reference>
        </references>
      </pivotArea>
    </chartFormat>
    <chartFormat chart="0" format="168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88"/>
          </reference>
        </references>
      </pivotArea>
    </chartFormat>
    <chartFormat chart="0" format="16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190"/>
          </reference>
        </references>
      </pivotArea>
    </chartFormat>
    <chartFormat chart="0" format="170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92"/>
          </reference>
        </references>
      </pivotArea>
    </chartFormat>
    <chartFormat chart="0" format="17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91"/>
          </reference>
        </references>
      </pivotArea>
    </chartFormat>
    <chartFormat chart="0" format="17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95"/>
          </reference>
        </references>
      </pivotArea>
    </chartFormat>
    <chartFormat chart="0" format="17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94"/>
          </reference>
        </references>
      </pivotArea>
    </chartFormat>
    <chartFormat chart="0" format="174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98"/>
          </reference>
        </references>
      </pivotArea>
    </chartFormat>
    <chartFormat chart="0" format="17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97"/>
          </reference>
        </references>
      </pivotArea>
    </chartFormat>
    <chartFormat chart="0" format="17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00"/>
          </reference>
        </references>
      </pivotArea>
    </chartFormat>
    <chartFormat chart="0" format="177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202"/>
          </reference>
        </references>
      </pivotArea>
    </chartFormat>
    <chartFormat chart="0" format="17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01"/>
          </reference>
        </references>
      </pivotArea>
    </chartFormat>
    <chartFormat chart="0" format="179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204"/>
          </reference>
        </references>
      </pivotArea>
    </chartFormat>
    <chartFormat chart="0" format="18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06"/>
          </reference>
        </references>
      </pivotArea>
    </chartFormat>
    <chartFormat chart="0" format="18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207"/>
          </reference>
        </references>
      </pivotArea>
    </chartFormat>
    <chartFormat chart="0" format="18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09"/>
          </reference>
        </references>
      </pivotArea>
    </chartFormat>
    <chartFormat chart="0" format="18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12"/>
          </reference>
        </references>
      </pivotArea>
    </chartFormat>
    <chartFormat chart="0" format="18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17"/>
          </reference>
        </references>
      </pivotArea>
    </chartFormat>
    <chartFormat chart="0" format="185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215"/>
          </reference>
        </references>
      </pivotArea>
    </chartFormat>
    <chartFormat chart="0" format="18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218"/>
          </reference>
        </references>
      </pivotArea>
    </chartFormat>
    <chartFormat chart="0" format="18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20"/>
          </reference>
        </references>
      </pivotArea>
    </chartFormat>
    <chartFormat chart="0" format="18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26"/>
          </reference>
        </references>
      </pivotArea>
    </chartFormat>
    <chartFormat chart="0" format="18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30"/>
          </reference>
        </references>
      </pivotArea>
    </chartFormat>
    <chartFormat chart="0" format="19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34"/>
          </reference>
        </references>
      </pivotArea>
    </chartFormat>
    <chartFormat chart="0" format="19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38"/>
          </reference>
        </references>
      </pivotArea>
    </chartFormat>
    <chartFormat chart="0" format="19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39"/>
          </reference>
        </references>
      </pivotArea>
    </chartFormat>
    <chartFormat chart="0" format="19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43"/>
          </reference>
        </references>
      </pivotArea>
    </chartFormat>
    <chartFormat chart="0" format="19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4"/>
          </reference>
        </references>
      </pivotArea>
    </chartFormat>
    <chartFormat chart="0" format="19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48"/>
          </reference>
        </references>
      </pivotArea>
    </chartFormat>
    <chartFormat chart="0" format="19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249"/>
          </reference>
        </references>
      </pivotArea>
    </chartFormat>
    <chartFormat chart="0" format="19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53"/>
          </reference>
        </references>
      </pivotArea>
    </chartFormat>
    <chartFormat chart="0" format="19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56"/>
          </reference>
        </references>
      </pivotArea>
    </chartFormat>
    <chartFormat chart="0" format="19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60"/>
          </reference>
        </references>
      </pivotArea>
    </chartFormat>
    <chartFormat chart="0" format="20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267"/>
          </reference>
        </references>
      </pivotArea>
    </chartFormat>
    <chartFormat chart="0" format="201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274"/>
          </reference>
        </references>
      </pivotArea>
    </chartFormat>
    <chartFormat chart="0" format="202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278"/>
          </reference>
        </references>
      </pivotArea>
    </chartFormat>
    <chartFormat chart="0" format="20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298"/>
          </reference>
        </references>
      </pivotArea>
    </chartFormat>
    <chartFormat chart="0" format="20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302"/>
          </reference>
        </references>
      </pivotArea>
    </chartFormat>
    <chartFormat chart="0" format="205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299"/>
          </reference>
        </references>
      </pivotArea>
    </chartFormat>
    <chartFormat chart="0" format="20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306"/>
          </reference>
        </references>
      </pivotArea>
    </chartFormat>
    <chartFormat chart="0" format="20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311"/>
          </reference>
        </references>
      </pivotArea>
    </chartFormat>
    <chartFormat chart="0" format="208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07"/>
          </reference>
        </references>
      </pivotArea>
    </chartFormat>
    <chartFormat chart="0" format="20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316"/>
          </reference>
        </references>
      </pivotArea>
    </chartFormat>
    <chartFormat chart="0" format="210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12"/>
          </reference>
        </references>
      </pivotArea>
    </chartFormat>
    <chartFormat chart="0" format="21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320"/>
          </reference>
        </references>
      </pivotArea>
    </chartFormat>
    <chartFormat chart="0" format="21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321"/>
          </reference>
        </references>
      </pivotArea>
    </chartFormat>
    <chartFormat chart="0" format="213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17"/>
          </reference>
        </references>
      </pivotArea>
    </chartFormat>
    <chartFormat chart="0" format="214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23"/>
          </reference>
        </references>
      </pivotArea>
    </chartFormat>
    <chartFormat chart="0" format="21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327"/>
          </reference>
        </references>
      </pivotArea>
    </chartFormat>
    <chartFormat chart="0" format="21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334"/>
          </reference>
        </references>
      </pivotArea>
    </chartFormat>
    <chartFormat chart="0" format="217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29"/>
          </reference>
        </references>
      </pivotArea>
    </chartFormat>
    <chartFormat chart="0" format="21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330"/>
          </reference>
        </references>
      </pivotArea>
    </chartFormat>
    <chartFormat chart="0" format="21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338"/>
          </reference>
        </references>
      </pivotArea>
    </chartFormat>
    <chartFormat chart="0" format="22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339"/>
          </reference>
        </references>
      </pivotArea>
    </chartFormat>
    <chartFormat chart="0" format="221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35"/>
          </reference>
        </references>
      </pivotArea>
    </chartFormat>
    <chartFormat chart="0" format="22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344"/>
          </reference>
        </references>
      </pivotArea>
    </chartFormat>
    <chartFormat chart="0" format="223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40"/>
          </reference>
        </references>
      </pivotArea>
    </chartFormat>
    <chartFormat chart="0" format="22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348"/>
          </reference>
        </references>
      </pivotArea>
    </chartFormat>
    <chartFormat chart="0" format="22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349"/>
          </reference>
        </references>
      </pivotArea>
    </chartFormat>
    <chartFormat chart="0" format="226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45"/>
          </reference>
        </references>
      </pivotArea>
    </chartFormat>
    <chartFormat chart="0" format="227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50"/>
          </reference>
        </references>
      </pivotArea>
    </chartFormat>
    <chartFormat chart="0" format="228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54"/>
          </reference>
        </references>
      </pivotArea>
    </chartFormat>
    <chartFormat chart="0" format="229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58"/>
          </reference>
        </references>
      </pivotArea>
    </chartFormat>
    <chartFormat chart="0" format="230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62"/>
          </reference>
        </references>
      </pivotArea>
    </chartFormat>
    <chartFormat chart="0" format="23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370"/>
          </reference>
        </references>
      </pivotArea>
    </chartFormat>
    <chartFormat chart="0" format="232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66"/>
          </reference>
        </references>
      </pivotArea>
    </chartFormat>
    <chartFormat chart="0" format="233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71"/>
          </reference>
        </references>
      </pivotArea>
    </chartFormat>
    <chartFormat chart="0" format="23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376"/>
          </reference>
        </references>
      </pivotArea>
    </chartFormat>
    <chartFormat chart="0" format="235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73"/>
          </reference>
        </references>
      </pivotArea>
    </chartFormat>
    <chartFormat chart="0" format="236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77"/>
          </reference>
        </references>
      </pivotArea>
    </chartFormat>
    <chartFormat chart="0" format="23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391"/>
          </reference>
        </references>
      </pivotArea>
    </chartFormat>
    <chartFormat chart="0" format="238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87"/>
          </reference>
        </references>
      </pivotArea>
    </chartFormat>
    <chartFormat chart="0" format="23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395"/>
          </reference>
        </references>
      </pivotArea>
    </chartFormat>
    <chartFormat chart="0" format="240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92"/>
          </reference>
        </references>
      </pivotArea>
    </chartFormat>
    <chartFormat chart="0" format="24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00"/>
          </reference>
        </references>
      </pivotArea>
    </chartFormat>
    <chartFormat chart="0" format="242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396"/>
          </reference>
        </references>
      </pivotArea>
    </chartFormat>
    <chartFormat chart="0" format="24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403"/>
          </reference>
        </references>
      </pivotArea>
    </chartFormat>
    <chartFormat chart="0" format="244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01"/>
          </reference>
        </references>
      </pivotArea>
    </chartFormat>
    <chartFormat chart="0" format="24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05"/>
          </reference>
        </references>
      </pivotArea>
    </chartFormat>
    <chartFormat chart="0" format="246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06"/>
          </reference>
        </references>
      </pivotArea>
    </chartFormat>
    <chartFormat chart="0" format="247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408"/>
          </reference>
        </references>
      </pivotArea>
    </chartFormat>
    <chartFormat chart="0" format="248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10"/>
          </reference>
        </references>
      </pivotArea>
    </chartFormat>
    <chartFormat chart="0" format="249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411"/>
          </reference>
        </references>
      </pivotArea>
    </chartFormat>
    <chartFormat chart="0" format="250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415"/>
          </reference>
        </references>
      </pivotArea>
    </chartFormat>
    <chartFormat chart="0" format="251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14"/>
          </reference>
        </references>
      </pivotArea>
    </chartFormat>
    <chartFormat chart="0" format="25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418"/>
          </reference>
        </references>
      </pivotArea>
    </chartFormat>
    <chartFormat chart="0" format="25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422"/>
          </reference>
        </references>
      </pivotArea>
    </chartFormat>
    <chartFormat chart="0" format="254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20"/>
          </reference>
        </references>
      </pivotArea>
    </chartFormat>
    <chartFormat chart="0" format="25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23"/>
          </reference>
        </references>
      </pivotArea>
    </chartFormat>
    <chartFormat chart="0" format="25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425"/>
          </reference>
        </references>
      </pivotArea>
    </chartFormat>
    <chartFormat chart="0" format="25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27"/>
          </reference>
        </references>
      </pivotArea>
    </chartFormat>
    <chartFormat chart="0" format="258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28"/>
          </reference>
        </references>
      </pivotArea>
    </chartFormat>
    <chartFormat chart="0" format="25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32"/>
          </reference>
        </references>
      </pivotArea>
    </chartFormat>
    <chartFormat chart="0" format="260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33"/>
          </reference>
        </references>
      </pivotArea>
    </chartFormat>
    <chartFormat chart="0" format="26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42"/>
          </reference>
        </references>
      </pivotArea>
    </chartFormat>
    <chartFormat chart="0" format="262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38"/>
          </reference>
        </references>
      </pivotArea>
    </chartFormat>
    <chartFormat chart="0" format="26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47"/>
          </reference>
        </references>
      </pivotArea>
    </chartFormat>
    <chartFormat chart="0" format="26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51"/>
          </reference>
        </references>
      </pivotArea>
    </chartFormat>
    <chartFormat chart="0" format="265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48"/>
          </reference>
        </references>
      </pivotArea>
    </chartFormat>
    <chartFormat chart="0" format="266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52"/>
          </reference>
        </references>
      </pivotArea>
    </chartFormat>
    <chartFormat chart="0" format="26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59"/>
          </reference>
        </references>
      </pivotArea>
    </chartFormat>
    <chartFormat chart="0" format="268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55"/>
          </reference>
        </references>
      </pivotArea>
    </chartFormat>
    <chartFormat chart="0" format="26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64"/>
          </reference>
        </references>
      </pivotArea>
    </chartFormat>
    <chartFormat chart="0" format="270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60"/>
          </reference>
        </references>
      </pivotArea>
    </chartFormat>
    <chartFormat chart="0" format="27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68"/>
          </reference>
        </references>
      </pivotArea>
    </chartFormat>
    <chartFormat chart="0" format="272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65"/>
          </reference>
        </references>
      </pivotArea>
    </chartFormat>
    <chartFormat chart="0" format="27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73"/>
          </reference>
        </references>
      </pivotArea>
    </chartFormat>
    <chartFormat chart="0" format="274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69"/>
          </reference>
        </references>
      </pivotArea>
    </chartFormat>
    <chartFormat chart="0" format="27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72"/>
          </reference>
        </references>
      </pivotArea>
    </chartFormat>
    <chartFormat chart="0" format="27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475"/>
          </reference>
        </references>
      </pivotArea>
    </chartFormat>
    <chartFormat chart="0" format="27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77"/>
          </reference>
        </references>
      </pivotArea>
    </chartFormat>
    <chartFormat chart="0" format="27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76"/>
          </reference>
        </references>
      </pivotArea>
    </chartFormat>
    <chartFormat chart="0" format="279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74"/>
          </reference>
        </references>
      </pivotArea>
    </chartFormat>
    <chartFormat chart="0" format="280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480"/>
          </reference>
        </references>
      </pivotArea>
    </chartFormat>
    <chartFormat chart="0" format="28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82"/>
          </reference>
        </references>
      </pivotArea>
    </chartFormat>
    <chartFormat chart="0" format="282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78"/>
          </reference>
        </references>
      </pivotArea>
    </chartFormat>
    <chartFormat chart="0" format="28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81"/>
          </reference>
        </references>
      </pivotArea>
    </chartFormat>
    <chartFormat chart="0" format="284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485"/>
          </reference>
        </references>
      </pivotArea>
    </chartFormat>
    <chartFormat chart="0" format="28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86"/>
          </reference>
        </references>
      </pivotArea>
    </chartFormat>
    <chartFormat chart="0" format="286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83"/>
          </reference>
        </references>
      </pivotArea>
    </chartFormat>
    <chartFormat chart="0" format="287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487"/>
          </reference>
        </references>
      </pivotArea>
    </chartFormat>
    <chartFormat chart="0" format="28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89"/>
          </reference>
        </references>
      </pivotArea>
    </chartFormat>
    <chartFormat chart="0" format="28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88"/>
          </reference>
        </references>
      </pivotArea>
    </chartFormat>
    <chartFormat chart="0" format="290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491"/>
          </reference>
        </references>
      </pivotArea>
    </chartFormat>
    <chartFormat chart="0" format="29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92"/>
          </reference>
        </references>
      </pivotArea>
    </chartFormat>
    <chartFormat chart="0" format="29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93"/>
          </reference>
        </references>
      </pivotArea>
    </chartFormat>
    <chartFormat chart="0" format="293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90"/>
          </reference>
        </references>
      </pivotArea>
    </chartFormat>
    <chartFormat chart="0" format="29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95"/>
          </reference>
        </references>
      </pivotArea>
    </chartFormat>
    <chartFormat chart="0" format="29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496"/>
          </reference>
        </references>
      </pivotArea>
    </chartFormat>
    <chartFormat chart="0" format="296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94"/>
          </reference>
        </references>
      </pivotArea>
    </chartFormat>
    <chartFormat chart="0" format="29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499"/>
          </reference>
        </references>
      </pivotArea>
    </chartFormat>
    <chartFormat chart="0" format="29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00"/>
          </reference>
        </references>
      </pivotArea>
    </chartFormat>
    <chartFormat chart="0" format="299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497"/>
          </reference>
        </references>
      </pivotArea>
    </chartFormat>
    <chartFormat chart="0" format="30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03"/>
          </reference>
        </references>
      </pivotArea>
    </chartFormat>
    <chartFormat chart="0" format="30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04"/>
          </reference>
        </references>
      </pivotArea>
    </chartFormat>
    <chartFormat chart="0" format="302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501"/>
          </reference>
        </references>
      </pivotArea>
    </chartFormat>
    <chartFormat chart="0" format="30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507"/>
          </reference>
        </references>
      </pivotArea>
    </chartFormat>
    <chartFormat chart="0" format="30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08"/>
          </reference>
        </references>
      </pivotArea>
    </chartFormat>
    <chartFormat chart="0" format="30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09"/>
          </reference>
        </references>
      </pivotArea>
    </chartFormat>
    <chartFormat chart="0" format="306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505"/>
          </reference>
        </references>
      </pivotArea>
    </chartFormat>
    <chartFormat chart="0" format="307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511"/>
          </reference>
        </references>
      </pivotArea>
    </chartFormat>
    <chartFormat chart="0" format="30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12"/>
          </reference>
        </references>
      </pivotArea>
    </chartFormat>
    <chartFormat chart="0" format="30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13"/>
          </reference>
        </references>
      </pivotArea>
    </chartFormat>
    <chartFormat chart="0" format="31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15"/>
          </reference>
        </references>
      </pivotArea>
    </chartFormat>
    <chartFormat chart="0" format="31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16"/>
          </reference>
        </references>
      </pivotArea>
    </chartFormat>
    <chartFormat chart="0" format="31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18"/>
          </reference>
        </references>
      </pivotArea>
    </chartFormat>
    <chartFormat chart="0" format="31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19"/>
          </reference>
        </references>
      </pivotArea>
    </chartFormat>
    <chartFormat chart="0" format="314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520"/>
          </reference>
        </references>
      </pivotArea>
    </chartFormat>
    <chartFormat chart="0" format="31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21"/>
          </reference>
        </references>
      </pivotArea>
    </chartFormat>
    <chartFormat chart="0" format="31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0"/>
          </reference>
        </references>
      </pivotArea>
    </chartFormat>
    <chartFormat chart="0" format="317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523"/>
          </reference>
        </references>
      </pivotArea>
    </chartFormat>
    <chartFormat chart="0" format="31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24"/>
          </reference>
        </references>
      </pivotArea>
    </chartFormat>
    <chartFormat chart="0" format="31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25"/>
          </reference>
        </references>
      </pivotArea>
    </chartFormat>
    <chartFormat chart="0" format="320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527"/>
          </reference>
        </references>
      </pivotArea>
    </chartFormat>
    <chartFormat chart="0" format="32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28"/>
          </reference>
        </references>
      </pivotArea>
    </chartFormat>
    <chartFormat chart="0" format="32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529"/>
          </reference>
        </references>
      </pivotArea>
    </chartFormat>
    <chartFormat chart="0" format="32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30"/>
          </reference>
        </references>
      </pivotArea>
    </chartFormat>
    <chartFormat chart="0" format="324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32"/>
          </reference>
        </references>
      </pivotArea>
    </chartFormat>
    <chartFormat chart="0" format="325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534"/>
          </reference>
        </references>
      </pivotArea>
    </chartFormat>
    <chartFormat chart="0" format="32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35"/>
          </reference>
        </references>
      </pivotArea>
    </chartFormat>
    <chartFormat chart="0" format="327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536"/>
          </reference>
        </references>
      </pivotArea>
    </chartFormat>
    <chartFormat chart="0" format="32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37"/>
          </reference>
        </references>
      </pivotArea>
    </chartFormat>
    <chartFormat chart="0" format="32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41"/>
          </reference>
        </references>
      </pivotArea>
    </chartFormat>
    <chartFormat chart="0" format="33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42"/>
          </reference>
        </references>
      </pivotArea>
    </chartFormat>
    <chartFormat chart="0" format="33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45"/>
          </reference>
        </references>
      </pivotArea>
    </chartFormat>
    <chartFormat chart="0" format="332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546"/>
          </reference>
        </references>
      </pivotArea>
    </chartFormat>
    <chartFormat chart="0" format="33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49"/>
          </reference>
        </references>
      </pivotArea>
    </chartFormat>
    <chartFormat chart="0" format="33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50"/>
          </reference>
        </references>
      </pivotArea>
    </chartFormat>
    <chartFormat chart="0" format="335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547"/>
          </reference>
        </references>
      </pivotArea>
    </chartFormat>
    <chartFormat chart="0" format="33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53"/>
          </reference>
        </references>
      </pivotArea>
    </chartFormat>
    <chartFormat chart="0" format="337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551"/>
          </reference>
        </references>
      </pivotArea>
    </chartFormat>
    <chartFormat chart="0" format="338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555"/>
          </reference>
        </references>
      </pivotArea>
    </chartFormat>
    <chartFormat chart="0" format="33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56"/>
          </reference>
        </references>
      </pivotArea>
    </chartFormat>
    <chartFormat chart="0" format="340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554"/>
          </reference>
        </references>
      </pivotArea>
    </chartFormat>
    <chartFormat chart="0" format="34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559"/>
          </reference>
        </references>
      </pivotArea>
    </chartFormat>
    <chartFormat chart="0" format="34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60"/>
          </reference>
        </references>
      </pivotArea>
    </chartFormat>
    <chartFormat chart="0" format="34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61"/>
          </reference>
        </references>
      </pivotArea>
    </chartFormat>
    <chartFormat chart="0" format="344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557"/>
          </reference>
        </references>
      </pivotArea>
    </chartFormat>
    <chartFormat chart="0" format="345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564"/>
          </reference>
        </references>
      </pivotArea>
    </chartFormat>
    <chartFormat chart="0" format="34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65"/>
          </reference>
        </references>
      </pivotArea>
    </chartFormat>
    <chartFormat chart="0" format="347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562"/>
          </reference>
        </references>
      </pivotArea>
    </chartFormat>
    <chartFormat chart="0" format="348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568"/>
          </reference>
        </references>
      </pivotArea>
    </chartFormat>
    <chartFormat chart="0" format="34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69"/>
          </reference>
        </references>
      </pivotArea>
    </chartFormat>
    <chartFormat chart="0" format="35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70"/>
          </reference>
        </references>
      </pivotArea>
    </chartFormat>
    <chartFormat chart="0" format="351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566"/>
          </reference>
        </references>
      </pivotArea>
    </chartFormat>
    <chartFormat chart="0" format="35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572"/>
          </reference>
        </references>
      </pivotArea>
    </chartFormat>
    <chartFormat chart="0" format="35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73"/>
          </reference>
        </references>
      </pivotArea>
    </chartFormat>
    <chartFormat chart="0" format="35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74"/>
          </reference>
        </references>
      </pivotArea>
    </chartFormat>
    <chartFormat chart="0" format="355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571"/>
          </reference>
        </references>
      </pivotArea>
    </chartFormat>
    <chartFormat chart="0" format="35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77"/>
          </reference>
        </references>
      </pivotArea>
    </chartFormat>
    <chartFormat chart="0" format="357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575"/>
          </reference>
        </references>
      </pivotArea>
    </chartFormat>
    <chartFormat chart="0" format="35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79"/>
          </reference>
        </references>
      </pivotArea>
    </chartFormat>
    <chartFormat chart="0" format="35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80"/>
          </reference>
        </references>
      </pivotArea>
    </chartFormat>
    <chartFormat chart="0" format="36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82"/>
          </reference>
        </references>
      </pivotArea>
    </chartFormat>
    <chartFormat chart="0" format="36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84"/>
          </reference>
        </references>
      </pivotArea>
    </chartFormat>
    <chartFormat chart="0" format="36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86"/>
          </reference>
        </references>
      </pivotArea>
    </chartFormat>
    <chartFormat chart="0" format="363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87"/>
          </reference>
        </references>
      </pivotArea>
    </chartFormat>
    <chartFormat chart="0" format="36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88"/>
          </reference>
        </references>
      </pivotArea>
    </chartFormat>
    <chartFormat chart="0" format="36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89"/>
          </reference>
        </references>
      </pivotArea>
    </chartFormat>
    <chartFormat chart="0" format="36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90"/>
          </reference>
        </references>
      </pivotArea>
    </chartFormat>
    <chartFormat chart="0" format="367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91"/>
          </reference>
        </references>
      </pivotArea>
    </chartFormat>
    <chartFormat chart="0" format="368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93"/>
          </reference>
        </references>
      </pivotArea>
    </chartFormat>
    <chartFormat chart="0" format="369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95"/>
          </reference>
        </references>
      </pivotArea>
    </chartFormat>
    <chartFormat chart="0" format="370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597"/>
          </reference>
        </references>
      </pivotArea>
    </chartFormat>
    <chartFormat chart="0" format="37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598"/>
          </reference>
        </references>
      </pivotArea>
    </chartFormat>
    <chartFormat chart="0" format="372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00"/>
          </reference>
        </references>
      </pivotArea>
    </chartFormat>
    <chartFormat chart="0" format="37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01"/>
          </reference>
        </references>
      </pivotArea>
    </chartFormat>
    <chartFormat chart="0" format="37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03"/>
          </reference>
        </references>
      </pivotArea>
    </chartFormat>
    <chartFormat chart="0" format="375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02"/>
          </reference>
        </references>
      </pivotArea>
    </chartFormat>
    <chartFormat chart="0" format="376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05"/>
          </reference>
        </references>
      </pivotArea>
    </chartFormat>
    <chartFormat chart="0" format="37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06"/>
          </reference>
        </references>
      </pivotArea>
    </chartFormat>
    <chartFormat chart="0" format="378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610"/>
          </reference>
        </references>
      </pivotArea>
    </chartFormat>
    <chartFormat chart="0" format="37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12"/>
          </reference>
        </references>
      </pivotArea>
    </chartFormat>
    <chartFormat chart="0" format="380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608"/>
          </reference>
        </references>
      </pivotArea>
    </chartFormat>
    <chartFormat chart="0" format="381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613"/>
          </reference>
        </references>
      </pivotArea>
    </chartFormat>
    <chartFormat chart="0" format="382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616"/>
          </reference>
        </references>
      </pivotArea>
    </chartFormat>
    <chartFormat chart="0" format="38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22"/>
          </reference>
        </references>
      </pivotArea>
    </chartFormat>
    <chartFormat chart="0" format="384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619"/>
          </reference>
        </references>
      </pivotArea>
    </chartFormat>
    <chartFormat chart="0" format="385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623"/>
          </reference>
        </references>
      </pivotArea>
    </chartFormat>
    <chartFormat chart="0" format="38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29"/>
          </reference>
        </references>
      </pivotArea>
    </chartFormat>
    <chartFormat chart="0" format="38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33"/>
          </reference>
        </references>
      </pivotArea>
    </chartFormat>
    <chartFormat chart="0" format="38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37"/>
          </reference>
        </references>
      </pivotArea>
    </chartFormat>
    <chartFormat chart="0" format="38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43"/>
          </reference>
        </references>
      </pivotArea>
    </chartFormat>
    <chartFormat chart="0" format="39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47"/>
          </reference>
        </references>
      </pivotArea>
    </chartFormat>
    <chartFormat chart="0" format="39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48"/>
          </reference>
        </references>
      </pivotArea>
    </chartFormat>
    <chartFormat chart="0" format="39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52"/>
          </reference>
        </references>
      </pivotArea>
    </chartFormat>
    <chartFormat chart="0" format="39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56"/>
          </reference>
        </references>
      </pivotArea>
    </chartFormat>
    <chartFormat chart="0" format="39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66"/>
          </reference>
        </references>
      </pivotArea>
    </chartFormat>
    <chartFormat chart="0" format="39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71"/>
          </reference>
        </references>
      </pivotArea>
    </chartFormat>
    <chartFormat chart="0" format="39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75"/>
          </reference>
        </references>
      </pivotArea>
    </chartFormat>
    <chartFormat chart="0" format="39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79"/>
          </reference>
        </references>
      </pivotArea>
    </chartFormat>
    <chartFormat chart="0" format="39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83"/>
          </reference>
        </references>
      </pivotArea>
    </chartFormat>
    <chartFormat chart="0" format="39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84"/>
          </reference>
        </references>
      </pivotArea>
    </chartFormat>
    <chartFormat chart="0" format="40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88"/>
          </reference>
        </references>
      </pivotArea>
    </chartFormat>
    <chartFormat chart="0" format="40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89"/>
          </reference>
        </references>
      </pivotArea>
    </chartFormat>
    <chartFormat chart="0" format="40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93"/>
          </reference>
        </references>
      </pivotArea>
    </chartFormat>
    <chartFormat chart="0" format="40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94"/>
          </reference>
        </references>
      </pivotArea>
    </chartFormat>
    <chartFormat chart="0" format="40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697"/>
          </reference>
        </references>
      </pivotArea>
    </chartFormat>
    <chartFormat chart="0" format="40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698"/>
          </reference>
        </references>
      </pivotArea>
    </chartFormat>
    <chartFormat chart="897" format="40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97" format="40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897" format="408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897" format="40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97" format="410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897" format="41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898" format="4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98" format="41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898" format="414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898" format="4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98" format="41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898" format="41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40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05"/>
          </reference>
        </references>
      </pivotArea>
    </chartFormat>
    <chartFormat chart="0" format="40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06"/>
          </reference>
        </references>
      </pivotArea>
    </chartFormat>
    <chartFormat chart="901" format="4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01" format="40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901" format="410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01" format="4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01" format="41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901" format="41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05"/>
          </reference>
        </references>
      </pivotArea>
    </chartFormat>
    <chartFormat chart="901" format="41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06"/>
          </reference>
        </references>
      </pivotArea>
    </chartFormat>
    <chartFormat chart="901" format="41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02" format="4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02" format="41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902" format="418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02" format="4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02" format="420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902" format="42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05"/>
          </reference>
        </references>
      </pivotArea>
    </chartFormat>
    <chartFormat chart="902" format="42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06"/>
          </reference>
        </references>
      </pivotArea>
    </chartFormat>
    <chartFormat chart="902" format="42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408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08"/>
          </reference>
        </references>
      </pivotArea>
    </chartFormat>
    <chartFormat chart="0" format="40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10"/>
          </reference>
        </references>
      </pivotArea>
    </chartFormat>
    <chartFormat chart="0" format="41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11"/>
          </reference>
        </references>
      </pivotArea>
    </chartFormat>
    <chartFormat chart="906" format="4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06" format="412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06" format="4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06" format="414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08"/>
          </reference>
        </references>
      </pivotArea>
    </chartFormat>
    <chartFormat chart="906" format="41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10"/>
          </reference>
        </references>
      </pivotArea>
    </chartFormat>
    <chartFormat chart="906" format="41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11"/>
          </reference>
        </references>
      </pivotArea>
    </chartFormat>
    <chartFormat chart="906" format="41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07" format="4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07" format="419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07" format="4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07" format="42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08"/>
          </reference>
        </references>
      </pivotArea>
    </chartFormat>
    <chartFormat chart="907" format="42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10"/>
          </reference>
        </references>
      </pivotArea>
    </chartFormat>
    <chartFormat chart="907" format="42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11"/>
          </reference>
        </references>
      </pivotArea>
    </chartFormat>
    <chartFormat chart="907" format="42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41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15"/>
          </reference>
        </references>
      </pivotArea>
    </chartFormat>
    <chartFormat chart="0" format="41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16"/>
          </reference>
        </references>
      </pivotArea>
    </chartFormat>
    <chartFormat chart="0" format="41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19"/>
          </reference>
        </references>
      </pivotArea>
    </chartFormat>
    <chartFormat chart="0" format="41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21"/>
          </reference>
        </references>
      </pivotArea>
    </chartFormat>
    <chartFormat chart="910" format="4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10" format="416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910" format="417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10" format="4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10" format="419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19"/>
          </reference>
        </references>
      </pivotArea>
    </chartFormat>
    <chartFormat chart="910" format="42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21"/>
          </reference>
        </references>
      </pivotArea>
    </chartFormat>
    <chartFormat chart="910" format="42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910" format="42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11" format="4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11" format="42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911" format="425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11" format="4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11" format="427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19"/>
          </reference>
        </references>
      </pivotArea>
    </chartFormat>
    <chartFormat chart="911" format="42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21"/>
          </reference>
        </references>
      </pivotArea>
    </chartFormat>
    <chartFormat chart="911" format="42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911" format="43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14" format="4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14" format="416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914" format="417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14" format="4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14" format="419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19"/>
          </reference>
        </references>
      </pivotArea>
    </chartFormat>
    <chartFormat chart="914" format="42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21"/>
          </reference>
        </references>
      </pivotArea>
    </chartFormat>
    <chartFormat chart="914" format="42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914" format="42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15" format="4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15" format="42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915" format="425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15" format="4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15" format="427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19"/>
          </reference>
        </references>
      </pivotArea>
    </chartFormat>
    <chartFormat chart="915" format="42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21"/>
          </reference>
        </references>
      </pivotArea>
    </chartFormat>
    <chartFormat chart="915" format="42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915" format="43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415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23"/>
          </reference>
        </references>
      </pivotArea>
    </chartFormat>
    <chartFormat chart="0" format="41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25"/>
          </reference>
        </references>
      </pivotArea>
    </chartFormat>
    <chartFormat chart="0" format="41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26"/>
          </reference>
        </references>
      </pivotArea>
    </chartFormat>
    <chartFormat chart="918" format="4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18" format="419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18" format="4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18" format="42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23"/>
          </reference>
        </references>
      </pivotArea>
    </chartFormat>
    <chartFormat chart="918" format="42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25"/>
          </reference>
        </references>
      </pivotArea>
    </chartFormat>
    <chartFormat chart="918" format="42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26"/>
          </reference>
        </references>
      </pivotArea>
    </chartFormat>
    <chartFormat chart="918" format="42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19" format="4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19" format="426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19" format="42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19" format="428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23"/>
          </reference>
        </references>
      </pivotArea>
    </chartFormat>
    <chartFormat chart="919" format="42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25"/>
          </reference>
        </references>
      </pivotArea>
    </chartFormat>
    <chartFormat chart="919" format="43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26"/>
          </reference>
        </references>
      </pivotArea>
    </chartFormat>
    <chartFormat chart="919" format="43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418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29"/>
          </reference>
        </references>
      </pivotArea>
    </chartFormat>
    <chartFormat chart="0" format="41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31"/>
          </reference>
        </references>
      </pivotArea>
    </chartFormat>
    <chartFormat chart="0" format="42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32"/>
          </reference>
        </references>
      </pivotArea>
    </chartFormat>
    <chartFormat chart="922" format="4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22" format="422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22" format="4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22" format="424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29"/>
          </reference>
        </references>
      </pivotArea>
    </chartFormat>
    <chartFormat chart="922" format="42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31"/>
          </reference>
        </references>
      </pivotArea>
    </chartFormat>
    <chartFormat chart="922" format="42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32"/>
          </reference>
        </references>
      </pivotArea>
    </chartFormat>
    <chartFormat chart="922" format="42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23" format="4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23" format="429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23" format="4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23" format="43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29"/>
          </reference>
        </references>
      </pivotArea>
    </chartFormat>
    <chartFormat chart="923" format="43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31"/>
          </reference>
        </references>
      </pivotArea>
    </chartFormat>
    <chartFormat chart="923" format="43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32"/>
          </reference>
        </references>
      </pivotArea>
    </chartFormat>
    <chartFormat chart="923" format="43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26" format="4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26" format="422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26" format="4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26" format="424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29"/>
          </reference>
        </references>
      </pivotArea>
    </chartFormat>
    <chartFormat chart="926" format="42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31"/>
          </reference>
        </references>
      </pivotArea>
    </chartFormat>
    <chartFormat chart="926" format="42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32"/>
          </reference>
        </references>
      </pivotArea>
    </chartFormat>
    <chartFormat chart="926" format="42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42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35"/>
          </reference>
        </references>
      </pivotArea>
    </chartFormat>
    <chartFormat chart="0" format="42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37"/>
          </reference>
        </references>
      </pivotArea>
    </chartFormat>
    <chartFormat chart="927" format="4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27" format="424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27" format="4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27" format="42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35"/>
          </reference>
        </references>
      </pivotArea>
    </chartFormat>
    <chartFormat chart="927" format="42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0"/>
          </reference>
        </references>
      </pivotArea>
    </chartFormat>
    <chartFormat chart="927" format="42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37"/>
          </reference>
        </references>
      </pivotArea>
    </chartFormat>
    <chartFormat chart="927" format="42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28" format="4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28" format="43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28" format="43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28" format="43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35"/>
          </reference>
        </references>
      </pivotArea>
    </chartFormat>
    <chartFormat chart="928" format="43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0"/>
          </reference>
        </references>
      </pivotArea>
    </chartFormat>
    <chartFormat chart="928" format="43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37"/>
          </reference>
        </references>
      </pivotArea>
    </chartFormat>
    <chartFormat chart="928" format="43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42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39"/>
          </reference>
        </references>
      </pivotArea>
    </chartFormat>
    <chartFormat chart="0" format="42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45"/>
          </reference>
        </references>
      </pivotArea>
    </chartFormat>
    <chartFormat chart="0" format="42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46"/>
          </reference>
        </references>
      </pivotArea>
    </chartFormat>
    <chartFormat chart="0" format="42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43"/>
          </reference>
        </references>
      </pivotArea>
    </chartFormat>
    <chartFormat chart="931" format="4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31" format="428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31" format="4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31" format="430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43"/>
          </reference>
        </references>
      </pivotArea>
    </chartFormat>
    <chartFormat chart="931" format="43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45"/>
          </reference>
        </references>
      </pivotArea>
    </chartFormat>
    <chartFormat chart="931" format="43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46"/>
          </reference>
        </references>
      </pivotArea>
    </chartFormat>
    <chartFormat chart="931" format="43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32" format="4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32" format="435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32" format="43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32" format="437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43"/>
          </reference>
        </references>
      </pivotArea>
    </chartFormat>
    <chartFormat chart="932" format="43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45"/>
          </reference>
        </references>
      </pivotArea>
    </chartFormat>
    <chartFormat chart="932" format="43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46"/>
          </reference>
        </references>
      </pivotArea>
    </chartFormat>
    <chartFormat chart="932" format="44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42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50"/>
          </reference>
        </references>
      </pivotArea>
    </chartFormat>
    <chartFormat chart="0" format="42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49"/>
          </reference>
        </references>
      </pivotArea>
    </chartFormat>
    <chartFormat chart="937" format="4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37" format="430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37" format="43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37" format="43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49"/>
          </reference>
        </references>
      </pivotArea>
    </chartFormat>
    <chartFormat chart="937" format="43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50"/>
          </reference>
        </references>
      </pivotArea>
    </chartFormat>
    <chartFormat chart="937" format="43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38" format="4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38" format="436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38" format="43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38" format="43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49"/>
          </reference>
        </references>
      </pivotArea>
    </chartFormat>
    <chartFormat chart="938" format="43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50"/>
          </reference>
        </references>
      </pivotArea>
    </chartFormat>
    <chartFormat chart="938" format="44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42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55"/>
          </reference>
        </references>
      </pivotArea>
    </chartFormat>
    <chartFormat chart="0" format="43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56"/>
          </reference>
        </references>
      </pivotArea>
    </chartFormat>
    <chartFormat chart="941" format="4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41" format="432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41" format="4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41" format="43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55"/>
          </reference>
        </references>
      </pivotArea>
    </chartFormat>
    <chartFormat chart="941" format="43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56"/>
          </reference>
        </references>
      </pivotArea>
    </chartFormat>
    <chartFormat chart="941" format="43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42" format="4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42" format="438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42" format="43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42" format="44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55"/>
          </reference>
        </references>
      </pivotArea>
    </chartFormat>
    <chartFormat chart="942" format="44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56"/>
          </reference>
        </references>
      </pivotArea>
    </chartFormat>
    <chartFormat chart="942" format="44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43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62"/>
          </reference>
        </references>
      </pivotArea>
    </chartFormat>
    <chartFormat chart="0" format="43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63"/>
          </reference>
        </references>
      </pivotArea>
    </chartFormat>
    <chartFormat chart="0" format="43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59"/>
          </reference>
        </references>
      </pivotArea>
    </chartFormat>
    <chartFormat chart="945" format="4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45" format="43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45" format="43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62"/>
          </reference>
        </references>
      </pivotArea>
    </chartFormat>
    <chartFormat chart="945" format="43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63"/>
          </reference>
        </references>
      </pivotArea>
    </chartFormat>
    <chartFormat chart="945" format="43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59"/>
          </reference>
        </references>
      </pivotArea>
    </chartFormat>
    <chartFormat chart="946" format="4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46" format="44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46" format="44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62"/>
          </reference>
        </references>
      </pivotArea>
    </chartFormat>
    <chartFormat chart="946" format="44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63"/>
          </reference>
        </references>
      </pivotArea>
    </chartFormat>
    <chartFormat chart="946" format="44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59"/>
          </reference>
        </references>
      </pivotArea>
    </chartFormat>
    <chartFormat chart="0" format="43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67"/>
          </reference>
        </references>
      </pivotArea>
    </chartFormat>
    <chartFormat chart="0" format="43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68"/>
          </reference>
        </references>
      </pivotArea>
    </chartFormat>
    <chartFormat chart="0" format="43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66"/>
          </reference>
        </references>
      </pivotArea>
    </chartFormat>
    <chartFormat chart="0" format="43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65"/>
          </reference>
        </references>
      </pivotArea>
    </chartFormat>
    <chartFormat chart="949" format="4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49" format="43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49" format="440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66"/>
          </reference>
        </references>
      </pivotArea>
    </chartFormat>
    <chartFormat chart="949" format="44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67"/>
          </reference>
        </references>
      </pivotArea>
    </chartFormat>
    <chartFormat chart="949" format="44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68"/>
          </reference>
        </references>
      </pivotArea>
    </chartFormat>
    <chartFormat chart="949" format="44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65"/>
          </reference>
        </references>
      </pivotArea>
    </chartFormat>
    <chartFormat chart="950" format="4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50" format="44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50" format="44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66"/>
          </reference>
        </references>
      </pivotArea>
    </chartFormat>
    <chartFormat chart="950" format="44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67"/>
          </reference>
        </references>
      </pivotArea>
    </chartFormat>
    <chartFormat chart="950" format="44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68"/>
          </reference>
        </references>
      </pivotArea>
    </chartFormat>
    <chartFormat chart="950" format="44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65"/>
          </reference>
        </references>
      </pivotArea>
    </chartFormat>
    <chartFormat chart="0" format="43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73"/>
          </reference>
        </references>
      </pivotArea>
    </chartFormat>
    <chartFormat chart="0" format="439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71"/>
          </reference>
        </references>
      </pivotArea>
    </chartFormat>
    <chartFormat chart="0" format="440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75"/>
          </reference>
        </references>
      </pivotArea>
    </chartFormat>
    <chartFormat chart="0" format="44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76"/>
          </reference>
        </references>
      </pivotArea>
    </chartFormat>
    <chartFormat chart="0" format="44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78"/>
          </reference>
        </references>
      </pivotArea>
    </chartFormat>
    <chartFormat chart="953" format="4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53" format="444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53" format="44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53" format="44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75"/>
          </reference>
        </references>
      </pivotArea>
    </chartFormat>
    <chartFormat chart="953" format="44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78"/>
          </reference>
        </references>
      </pivotArea>
    </chartFormat>
    <chartFormat chart="953" format="44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76"/>
          </reference>
        </references>
      </pivotArea>
    </chartFormat>
    <chartFormat chart="953" format="44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54" format="4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54" format="45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54" format="4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54" format="45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75"/>
          </reference>
        </references>
      </pivotArea>
    </chartFormat>
    <chartFormat chart="954" format="45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78"/>
          </reference>
        </references>
      </pivotArea>
    </chartFormat>
    <chartFormat chart="954" format="45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76"/>
          </reference>
        </references>
      </pivotArea>
    </chartFormat>
    <chartFormat chart="954" format="45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44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81"/>
          </reference>
        </references>
      </pivotArea>
    </chartFormat>
    <chartFormat chart="0" format="44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82"/>
          </reference>
        </references>
      </pivotArea>
    </chartFormat>
    <chartFormat chart="957" format="4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57" format="446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57" format="44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57" format="448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81"/>
          </reference>
        </references>
      </pivotArea>
    </chartFormat>
    <chartFormat chart="957" format="44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58" format="4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58" format="45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958" format="4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58" format="45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81"/>
          </reference>
        </references>
      </pivotArea>
    </chartFormat>
    <chartFormat chart="958" format="45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44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83"/>
          </reference>
        </references>
      </pivotArea>
    </chartFormat>
    <chartFormat chart="0" format="44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87"/>
          </reference>
        </references>
      </pivotArea>
    </chartFormat>
    <chartFormat chart="0" format="44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89"/>
          </reference>
        </references>
      </pivotArea>
    </chartFormat>
    <chartFormat chart="0" format="44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91"/>
          </reference>
        </references>
      </pivotArea>
    </chartFormat>
    <chartFormat chart="0" format="449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90"/>
          </reference>
        </references>
      </pivotArea>
    </chartFormat>
    <chartFormat chart="961" format="4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61" format="4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61" format="45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90"/>
          </reference>
        </references>
      </pivotArea>
    </chartFormat>
    <chartFormat chart="961" format="45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87"/>
          </reference>
        </references>
      </pivotArea>
    </chartFormat>
    <chartFormat chart="961" format="45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91"/>
          </reference>
        </references>
      </pivotArea>
    </chartFormat>
    <chartFormat chart="961" format="45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89"/>
          </reference>
        </references>
      </pivotArea>
    </chartFormat>
    <chartFormat chart="962" format="4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62" format="4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62" format="458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90"/>
          </reference>
        </references>
      </pivotArea>
    </chartFormat>
    <chartFormat chart="962" format="45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87"/>
          </reference>
        </references>
      </pivotArea>
    </chartFormat>
    <chartFormat chart="962" format="46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91"/>
          </reference>
        </references>
      </pivotArea>
    </chartFormat>
    <chartFormat chart="962" format="46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89"/>
          </reference>
        </references>
      </pivotArea>
    </chartFormat>
    <chartFormat chart="965" format="4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65" format="4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65" format="45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90"/>
          </reference>
        </references>
      </pivotArea>
    </chartFormat>
    <chartFormat chart="965" format="45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87"/>
          </reference>
        </references>
      </pivotArea>
    </chartFormat>
    <chartFormat chart="965" format="45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91"/>
          </reference>
        </references>
      </pivotArea>
    </chartFormat>
    <chartFormat chart="965" format="45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89"/>
          </reference>
        </references>
      </pivotArea>
    </chartFormat>
    <chartFormat chart="966" format="4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66" format="4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66" format="458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90"/>
          </reference>
        </references>
      </pivotArea>
    </chartFormat>
    <chartFormat chart="966" format="45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87"/>
          </reference>
        </references>
      </pivotArea>
    </chartFormat>
    <chartFormat chart="966" format="46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91"/>
          </reference>
        </references>
      </pivotArea>
    </chartFormat>
    <chartFormat chart="966" format="46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89"/>
          </reference>
        </references>
      </pivotArea>
    </chartFormat>
    <chartFormat chart="0" format="45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93"/>
          </reference>
        </references>
      </pivotArea>
    </chartFormat>
    <chartFormat chart="0" format="45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97"/>
          </reference>
        </references>
      </pivotArea>
    </chartFormat>
    <chartFormat chart="0" format="45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96"/>
          </reference>
        </references>
      </pivotArea>
    </chartFormat>
    <chartFormat chart="0" format="45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94"/>
          </reference>
        </references>
      </pivotArea>
    </chartFormat>
    <chartFormat chart="974" format="4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74" format="4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74" format="45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94"/>
          </reference>
        </references>
      </pivotArea>
    </chartFormat>
    <chartFormat chart="974" format="45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96"/>
          </reference>
        </references>
      </pivotArea>
    </chartFormat>
    <chartFormat chart="974" format="45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97"/>
          </reference>
        </references>
      </pivotArea>
    </chartFormat>
    <chartFormat chart="974" format="45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93"/>
          </reference>
        </references>
      </pivotArea>
    </chartFormat>
    <chartFormat chart="975" format="4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75" format="4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75" format="46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794"/>
          </reference>
        </references>
      </pivotArea>
    </chartFormat>
    <chartFormat chart="975" format="46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796"/>
          </reference>
        </references>
      </pivotArea>
    </chartFormat>
    <chartFormat chart="975" format="46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797"/>
          </reference>
        </references>
      </pivotArea>
    </chartFormat>
    <chartFormat chart="975" format="46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93"/>
          </reference>
        </references>
      </pivotArea>
    </chartFormat>
    <chartFormat chart="0" format="45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99"/>
          </reference>
        </references>
      </pivotArea>
    </chartFormat>
    <chartFormat chart="0" format="45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02"/>
          </reference>
        </references>
      </pivotArea>
    </chartFormat>
    <chartFormat chart="0" format="45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01"/>
          </reference>
        </references>
      </pivotArea>
    </chartFormat>
    <chartFormat chart="978" format="4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78" format="4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78" format="45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01"/>
          </reference>
        </references>
      </pivotArea>
    </chartFormat>
    <chartFormat chart="978" format="46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02"/>
          </reference>
        </references>
      </pivotArea>
    </chartFormat>
    <chartFormat chart="978" format="46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99"/>
          </reference>
        </references>
      </pivotArea>
    </chartFormat>
    <chartFormat chart="979" format="4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79" format="4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79" format="46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01"/>
          </reference>
        </references>
      </pivotArea>
    </chartFormat>
    <chartFormat chart="979" format="46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02"/>
          </reference>
        </references>
      </pivotArea>
    </chartFormat>
    <chartFormat chart="979" format="46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799"/>
          </reference>
        </references>
      </pivotArea>
    </chartFormat>
    <chartFormat chart="0" format="45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08"/>
          </reference>
        </references>
      </pivotArea>
    </chartFormat>
    <chartFormat chart="0" format="45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09"/>
          </reference>
        </references>
      </pivotArea>
    </chartFormat>
    <chartFormat chart="0" format="45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05"/>
          </reference>
        </references>
      </pivotArea>
    </chartFormat>
    <chartFormat chart="0" format="460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06"/>
          </reference>
        </references>
      </pivotArea>
    </chartFormat>
    <chartFormat chart="985" format="46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85" format="46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85" format="46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06"/>
          </reference>
        </references>
      </pivotArea>
    </chartFormat>
    <chartFormat chart="985" format="46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08"/>
          </reference>
        </references>
      </pivotArea>
    </chartFormat>
    <chartFormat chart="985" format="46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09"/>
          </reference>
        </references>
      </pivotArea>
    </chartFormat>
    <chartFormat chart="985" format="46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05"/>
          </reference>
        </references>
      </pivotArea>
    </chartFormat>
    <chartFormat chart="986" format="4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86" format="46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86" format="469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06"/>
          </reference>
        </references>
      </pivotArea>
    </chartFormat>
    <chartFormat chart="986" format="47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08"/>
          </reference>
        </references>
      </pivotArea>
    </chartFormat>
    <chartFormat chart="986" format="47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09"/>
          </reference>
        </references>
      </pivotArea>
    </chartFormat>
    <chartFormat chart="986" format="47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05"/>
          </reference>
        </references>
      </pivotArea>
    </chartFormat>
    <chartFormat chart="0" format="46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14"/>
          </reference>
        </references>
      </pivotArea>
    </chartFormat>
    <chartFormat chart="0" format="46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15"/>
          </reference>
        </references>
      </pivotArea>
    </chartFormat>
    <chartFormat chart="0" format="46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11"/>
          </reference>
        </references>
      </pivotArea>
    </chartFormat>
    <chartFormat chart="990" format="4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90" format="4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90" format="46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14"/>
          </reference>
        </references>
      </pivotArea>
    </chartFormat>
    <chartFormat chart="990" format="46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15"/>
          </reference>
        </references>
      </pivotArea>
    </chartFormat>
    <chartFormat chart="990" format="46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11"/>
          </reference>
        </references>
      </pivotArea>
    </chartFormat>
    <chartFormat chart="991" format="46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91" format="47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91" format="47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14"/>
          </reference>
        </references>
      </pivotArea>
    </chartFormat>
    <chartFormat chart="991" format="47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15"/>
          </reference>
        </references>
      </pivotArea>
    </chartFormat>
    <chartFormat chart="991" format="47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11"/>
          </reference>
        </references>
      </pivotArea>
    </chartFormat>
    <chartFormat chart="0" format="46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21"/>
          </reference>
        </references>
      </pivotArea>
    </chartFormat>
    <chartFormat chart="0" format="46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22"/>
          </reference>
        </references>
      </pivotArea>
    </chartFormat>
    <chartFormat chart="0" format="46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18"/>
          </reference>
        </references>
      </pivotArea>
    </chartFormat>
    <chartFormat chart="994" format="4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94" format="46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94" format="46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21"/>
          </reference>
        </references>
      </pivotArea>
    </chartFormat>
    <chartFormat chart="994" format="47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22"/>
          </reference>
        </references>
      </pivotArea>
    </chartFormat>
    <chartFormat chart="994" format="47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18"/>
          </reference>
        </references>
      </pivotArea>
    </chartFormat>
    <chartFormat chart="995" format="4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95" format="47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95" format="47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21"/>
          </reference>
        </references>
      </pivotArea>
    </chartFormat>
    <chartFormat chart="995" format="47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22"/>
          </reference>
        </references>
      </pivotArea>
    </chartFormat>
    <chartFormat chart="995" format="47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18"/>
          </reference>
        </references>
      </pivotArea>
    </chartFormat>
    <chartFormat chart="0" format="46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24"/>
          </reference>
        </references>
      </pivotArea>
    </chartFormat>
    <chartFormat chart="0" format="46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27"/>
          </reference>
        </references>
      </pivotArea>
    </chartFormat>
    <chartFormat chart="0" format="469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25"/>
          </reference>
        </references>
      </pivotArea>
    </chartFormat>
    <chartFormat chart="1012" format="4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12" format="47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12" format="47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12" format="47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25"/>
          </reference>
        </references>
      </pivotArea>
    </chartFormat>
    <chartFormat chart="1012" format="47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27"/>
          </reference>
        </references>
      </pivotArea>
    </chartFormat>
    <chartFormat chart="1012" format="47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12" format="47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24"/>
          </reference>
        </references>
      </pivotArea>
    </chartFormat>
    <chartFormat chart="1013" format="4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13" format="47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13" format="47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13" format="480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25"/>
          </reference>
        </references>
      </pivotArea>
    </chartFormat>
    <chartFormat chart="1013" format="48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27"/>
          </reference>
        </references>
      </pivotArea>
    </chartFormat>
    <chartFormat chart="1013" format="48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13" format="48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24"/>
          </reference>
        </references>
      </pivotArea>
    </chartFormat>
    <chartFormat chart="0" format="47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32"/>
          </reference>
        </references>
      </pivotArea>
    </chartFormat>
    <chartFormat chart="0" format="47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29"/>
          </reference>
        </references>
      </pivotArea>
    </chartFormat>
    <chartFormat chart="1016" format="4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16" format="473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16" format="47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16" format="47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32"/>
          </reference>
        </references>
      </pivotArea>
    </chartFormat>
    <chartFormat chart="1016" format="47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16" format="47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29"/>
          </reference>
        </references>
      </pivotArea>
    </chartFormat>
    <chartFormat chart="1017" format="4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17" format="47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17" format="48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17" format="48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32"/>
          </reference>
        </references>
      </pivotArea>
    </chartFormat>
    <chartFormat chart="1017" format="48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17" format="48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29"/>
          </reference>
        </references>
      </pivotArea>
    </chartFormat>
    <chartFormat chart="0" format="47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33"/>
          </reference>
        </references>
      </pivotArea>
    </chartFormat>
    <chartFormat chart="0" format="47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36"/>
          </reference>
        </references>
      </pivotArea>
    </chartFormat>
    <chartFormat chart="1020" format="4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20" format="47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20" format="47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36"/>
          </reference>
        </references>
      </pivotArea>
    </chartFormat>
    <chartFormat chart="1020" format="47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33"/>
          </reference>
        </references>
      </pivotArea>
    </chartFormat>
    <chartFormat chart="1021" format="4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21" format="47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21" format="48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36"/>
          </reference>
        </references>
      </pivotArea>
    </chartFormat>
    <chartFormat chart="1021" format="48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33"/>
          </reference>
        </references>
      </pivotArea>
    </chartFormat>
    <chartFormat chart="0" format="47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42"/>
          </reference>
        </references>
      </pivotArea>
    </chartFormat>
    <chartFormat chart="0" format="47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40"/>
          </reference>
        </references>
      </pivotArea>
    </chartFormat>
    <chartFormat chart="0" format="47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44"/>
          </reference>
        </references>
      </pivotArea>
    </chartFormat>
    <chartFormat chart="0" format="47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47"/>
          </reference>
        </references>
      </pivotArea>
    </chartFormat>
    <chartFormat chart="1029" format="4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29" format="47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29" format="48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29" format="48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47"/>
          </reference>
        </references>
      </pivotArea>
    </chartFormat>
    <chartFormat chart="1029" format="48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29" format="48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44"/>
          </reference>
        </references>
      </pivotArea>
    </chartFormat>
    <chartFormat chart="1030" format="4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30" format="485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30" format="48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30" format="48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47"/>
          </reference>
        </references>
      </pivotArea>
    </chartFormat>
    <chartFormat chart="1030" format="48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30" format="48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44"/>
          </reference>
        </references>
      </pivotArea>
    </chartFormat>
    <chartFormat chart="0" format="47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50"/>
          </reference>
        </references>
      </pivotArea>
    </chartFormat>
    <chartFormat chart="0" format="47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53"/>
          </reference>
        </references>
      </pivotArea>
    </chartFormat>
    <chartFormat chart="0" format="48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52"/>
          </reference>
        </references>
      </pivotArea>
    </chartFormat>
    <chartFormat chart="1033" format="48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33" format="48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33" format="48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33" format="484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33" format="48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52"/>
          </reference>
        </references>
      </pivotArea>
    </chartFormat>
    <chartFormat chart="1033" format="48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53"/>
          </reference>
        </references>
      </pivotArea>
    </chartFormat>
    <chartFormat chart="1033" format="48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50"/>
          </reference>
        </references>
      </pivotArea>
    </chartFormat>
    <chartFormat chart="1034" format="48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34" format="48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34" format="49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34" format="49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34" format="49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52"/>
          </reference>
        </references>
      </pivotArea>
    </chartFormat>
    <chartFormat chart="1034" format="49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53"/>
          </reference>
        </references>
      </pivotArea>
    </chartFormat>
    <chartFormat chart="1034" format="49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50"/>
          </reference>
        </references>
      </pivotArea>
    </chartFormat>
    <chartFormat chart="0" format="48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55"/>
          </reference>
        </references>
      </pivotArea>
    </chartFormat>
    <chartFormat chart="0" format="48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58"/>
          </reference>
        </references>
      </pivotArea>
    </chartFormat>
    <chartFormat chart="0" format="48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57"/>
          </reference>
        </references>
      </pivotArea>
    </chartFormat>
    <chartFormat chart="1037" format="4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37" format="48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37" format="48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37" format="487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37" format="48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57"/>
          </reference>
        </references>
      </pivotArea>
    </chartFormat>
    <chartFormat chart="1037" format="48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58"/>
          </reference>
        </references>
      </pivotArea>
    </chartFormat>
    <chartFormat chart="1037" format="49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55"/>
          </reference>
        </references>
      </pivotArea>
    </chartFormat>
    <chartFormat chart="1038" format="49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38" format="49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38" format="4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38" format="494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38" format="49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57"/>
          </reference>
        </references>
      </pivotArea>
    </chartFormat>
    <chartFormat chart="1038" format="49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58"/>
          </reference>
        </references>
      </pivotArea>
    </chartFormat>
    <chartFormat chart="1038" format="49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55"/>
          </reference>
        </references>
      </pivotArea>
    </chartFormat>
    <chartFormat chart="0" format="48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60"/>
          </reference>
        </references>
      </pivotArea>
    </chartFormat>
    <chartFormat chart="0" format="48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61"/>
          </reference>
        </references>
      </pivotArea>
    </chartFormat>
    <chartFormat chart="1041" format="48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41" format="48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41" format="48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41" format="489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41" format="49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60"/>
          </reference>
        </references>
      </pivotArea>
    </chartFormat>
    <chartFormat chart="1041" format="49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61"/>
          </reference>
        </references>
      </pivotArea>
    </chartFormat>
    <chartFormat chart="1041" format="49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55"/>
          </reference>
        </references>
      </pivotArea>
    </chartFormat>
    <chartFormat chart="1042" format="49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42" format="49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42" format="49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42" format="49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42" format="49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60"/>
          </reference>
        </references>
      </pivotArea>
    </chartFormat>
    <chartFormat chart="1042" format="49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61"/>
          </reference>
        </references>
      </pivotArea>
    </chartFormat>
    <chartFormat chart="1042" format="49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55"/>
          </reference>
        </references>
      </pivotArea>
    </chartFormat>
    <chartFormat chart="1045" format="48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45" format="48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45" format="48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45" format="489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45" format="49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60"/>
          </reference>
        </references>
      </pivotArea>
    </chartFormat>
    <chartFormat chart="1045" format="49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61"/>
          </reference>
        </references>
      </pivotArea>
    </chartFormat>
    <chartFormat chart="1045" format="49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55"/>
          </reference>
        </references>
      </pivotArea>
    </chartFormat>
    <chartFormat chart="1046" format="49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46" format="49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46" format="49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46" format="49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46" format="49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60"/>
          </reference>
        </references>
      </pivotArea>
    </chartFormat>
    <chartFormat chart="1046" format="49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61"/>
          </reference>
        </references>
      </pivotArea>
    </chartFormat>
    <chartFormat chart="1046" format="49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55"/>
          </reference>
        </references>
      </pivotArea>
    </chartFormat>
    <chartFormat chart="0" format="48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63"/>
          </reference>
        </references>
      </pivotArea>
    </chartFormat>
    <chartFormat chart="0" format="48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66"/>
          </reference>
        </references>
      </pivotArea>
    </chartFormat>
    <chartFormat chart="0" format="48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65"/>
          </reference>
        </references>
      </pivotArea>
    </chartFormat>
    <chartFormat chart="1057" format="48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7" format="49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57" format="49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57" format="49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57" format="49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65"/>
          </reference>
        </references>
      </pivotArea>
    </chartFormat>
    <chartFormat chart="1057" format="49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66"/>
          </reference>
        </references>
      </pivotArea>
    </chartFormat>
    <chartFormat chart="1057" format="49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63"/>
          </reference>
        </references>
      </pivotArea>
    </chartFormat>
    <chartFormat chart="1058" format="49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8" format="49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58" format="49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58" format="499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058" format="50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65"/>
          </reference>
        </references>
      </pivotArea>
    </chartFormat>
    <chartFormat chart="1058" format="50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66"/>
          </reference>
        </references>
      </pivotArea>
    </chartFormat>
    <chartFormat chart="1058" format="50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63"/>
          </reference>
        </references>
      </pivotArea>
    </chartFormat>
    <chartFormat chart="0" format="489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70"/>
          </reference>
        </references>
      </pivotArea>
    </chartFormat>
    <chartFormat chart="0" format="49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69"/>
          </reference>
        </references>
      </pivotArea>
    </chartFormat>
    <chartFormat chart="0" format="49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72"/>
          </reference>
        </references>
      </pivotArea>
    </chartFormat>
    <chartFormat chart="1061" format="4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1" format="493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61" format="49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61" format="495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70"/>
          </reference>
        </references>
      </pivotArea>
    </chartFormat>
    <chartFormat chart="1061" format="49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72"/>
          </reference>
        </references>
      </pivotArea>
    </chartFormat>
    <chartFormat chart="1061" format="49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61" format="49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69"/>
          </reference>
        </references>
      </pivotArea>
    </chartFormat>
    <chartFormat chart="1062" format="4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2" format="493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62" format="49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62" format="495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70"/>
          </reference>
        </references>
      </pivotArea>
    </chartFormat>
    <chartFormat chart="1062" format="49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72"/>
          </reference>
        </references>
      </pivotArea>
    </chartFormat>
    <chartFormat chart="1062" format="49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62" format="49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69"/>
          </reference>
        </references>
      </pivotArea>
    </chartFormat>
    <chartFormat chart="1063" format="49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3" format="500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63" format="50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63" format="50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70"/>
          </reference>
        </references>
      </pivotArea>
    </chartFormat>
    <chartFormat chart="1063" format="50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72"/>
          </reference>
        </references>
      </pivotArea>
    </chartFormat>
    <chartFormat chart="1063" format="50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63" format="50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69"/>
          </reference>
        </references>
      </pivotArea>
    </chartFormat>
    <chartFormat chart="0" format="49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75"/>
          </reference>
        </references>
      </pivotArea>
    </chartFormat>
    <chartFormat chart="0" format="49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77"/>
          </reference>
        </references>
      </pivotArea>
    </chartFormat>
    <chartFormat chart="0" format="49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78"/>
          </reference>
        </references>
      </pivotArea>
    </chartFormat>
    <chartFormat chart="0" format="49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74"/>
          </reference>
        </references>
      </pivotArea>
    </chartFormat>
    <chartFormat chart="1066" format="49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6" format="49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66" format="498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75"/>
          </reference>
        </references>
      </pivotArea>
    </chartFormat>
    <chartFormat chart="1066" format="49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77"/>
          </reference>
        </references>
      </pivotArea>
    </chartFormat>
    <chartFormat chart="1066" format="50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78"/>
          </reference>
        </references>
      </pivotArea>
    </chartFormat>
    <chartFormat chart="1066" format="50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74"/>
          </reference>
        </references>
      </pivotArea>
    </chartFormat>
    <chartFormat chart="1067" format="5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7" format="5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67" format="504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75"/>
          </reference>
        </references>
      </pivotArea>
    </chartFormat>
    <chartFormat chart="1067" format="50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77"/>
          </reference>
        </references>
      </pivotArea>
    </chartFormat>
    <chartFormat chart="1067" format="50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78"/>
          </reference>
        </references>
      </pivotArea>
    </chartFormat>
    <chartFormat chart="1067" format="50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74"/>
          </reference>
        </references>
      </pivotArea>
    </chartFormat>
    <chartFormat chart="0" format="49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81"/>
          </reference>
        </references>
      </pivotArea>
    </chartFormat>
    <chartFormat chart="0" format="49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83"/>
          </reference>
        </references>
      </pivotArea>
    </chartFormat>
    <chartFormat chart="0" format="49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80"/>
          </reference>
        </references>
      </pivotArea>
    </chartFormat>
    <chartFormat chart="1070" format="49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70" format="500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70" format="50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70" format="50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81"/>
          </reference>
        </references>
      </pivotArea>
    </chartFormat>
    <chartFormat chart="1070" format="50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83"/>
          </reference>
        </references>
      </pivotArea>
    </chartFormat>
    <chartFormat chart="1070" format="50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70" format="50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80"/>
          </reference>
        </references>
      </pivotArea>
    </chartFormat>
    <chartFormat chart="1071" format="50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71" format="507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71" format="50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71" format="509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81"/>
          </reference>
        </references>
      </pivotArea>
    </chartFormat>
    <chartFormat chart="1071" format="51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83"/>
          </reference>
        </references>
      </pivotArea>
    </chartFormat>
    <chartFormat chart="1071" format="51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71" format="51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80"/>
          </reference>
        </references>
      </pivotArea>
    </chartFormat>
    <chartFormat chart="0" format="499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86"/>
          </reference>
        </references>
      </pivotArea>
    </chartFormat>
    <chartFormat chart="0" format="50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88"/>
          </reference>
        </references>
      </pivotArea>
    </chartFormat>
    <chartFormat chart="0" format="50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95"/>
          </reference>
        </references>
      </pivotArea>
    </chartFormat>
    <chartFormat chart="0" format="50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94"/>
          </reference>
        </references>
      </pivotArea>
    </chartFormat>
    <chartFormat chart="0" format="50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92"/>
          </reference>
        </references>
      </pivotArea>
    </chartFormat>
    <chartFormat chart="0" format="50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91"/>
          </reference>
        </references>
      </pivotArea>
    </chartFormat>
    <chartFormat chart="1079" format="50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79" format="50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79" format="507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92"/>
          </reference>
        </references>
      </pivotArea>
    </chartFormat>
    <chartFormat chart="1079" format="50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94"/>
          </reference>
        </references>
      </pivotArea>
    </chartFormat>
    <chartFormat chart="1079" format="50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95"/>
          </reference>
        </references>
      </pivotArea>
    </chartFormat>
    <chartFormat chart="1079" format="51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91"/>
          </reference>
        </references>
      </pivotArea>
    </chartFormat>
    <chartFormat chart="1080" format="5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80" format="5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80" format="51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92"/>
          </reference>
        </references>
      </pivotArea>
    </chartFormat>
    <chartFormat chart="1080" format="51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94"/>
          </reference>
        </references>
      </pivotArea>
    </chartFormat>
    <chartFormat chart="1080" format="51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95"/>
          </reference>
        </references>
      </pivotArea>
    </chartFormat>
    <chartFormat chart="1080" format="51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91"/>
          </reference>
        </references>
      </pivotArea>
    </chartFormat>
    <chartFormat chart="0" format="50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96"/>
          </reference>
        </references>
      </pivotArea>
    </chartFormat>
    <chartFormat chart="0" format="50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99"/>
          </reference>
        </references>
      </pivotArea>
    </chartFormat>
    <chartFormat chart="0" format="50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98"/>
          </reference>
        </references>
      </pivotArea>
    </chartFormat>
    <chartFormat chart="0" format="508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97"/>
          </reference>
        </references>
      </pivotArea>
    </chartFormat>
    <chartFormat chart="1083" format="50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83" format="5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83" format="51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97"/>
          </reference>
        </references>
      </pivotArea>
    </chartFormat>
    <chartFormat chart="1083" format="51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98"/>
          </reference>
        </references>
      </pivotArea>
    </chartFormat>
    <chartFormat chart="1083" format="51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99"/>
          </reference>
        </references>
      </pivotArea>
    </chartFormat>
    <chartFormat chart="1083" format="51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96"/>
          </reference>
        </references>
      </pivotArea>
    </chartFormat>
    <chartFormat chart="1084" format="5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84" format="5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84" format="517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897"/>
          </reference>
        </references>
      </pivotArea>
    </chartFormat>
    <chartFormat chart="1084" format="51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898"/>
          </reference>
        </references>
      </pivotArea>
    </chartFormat>
    <chartFormat chart="1084" format="51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899"/>
          </reference>
        </references>
      </pivotArea>
    </chartFormat>
    <chartFormat chart="1084" format="52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896"/>
          </reference>
        </references>
      </pivotArea>
    </chartFormat>
    <chartFormat chart="0" format="50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04"/>
          </reference>
        </references>
      </pivotArea>
    </chartFormat>
    <chartFormat chart="0" format="51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05"/>
          </reference>
        </references>
      </pivotArea>
    </chartFormat>
    <chartFormat chart="0" format="51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01"/>
          </reference>
        </references>
      </pivotArea>
    </chartFormat>
    <chartFormat chart="1087" format="5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87" format="5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87" format="51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04"/>
          </reference>
        </references>
      </pivotArea>
    </chartFormat>
    <chartFormat chart="1087" format="51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05"/>
          </reference>
        </references>
      </pivotArea>
    </chartFormat>
    <chartFormat chart="1087" format="51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01"/>
          </reference>
        </references>
      </pivotArea>
    </chartFormat>
    <chartFormat chart="1088" format="5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88" format="5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88" format="51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04"/>
          </reference>
        </references>
      </pivotArea>
    </chartFormat>
    <chartFormat chart="1088" format="52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05"/>
          </reference>
        </references>
      </pivotArea>
    </chartFormat>
    <chartFormat chart="1088" format="52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01"/>
          </reference>
        </references>
      </pivotArea>
    </chartFormat>
    <chartFormat chart="0" format="51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07"/>
          </reference>
        </references>
      </pivotArea>
    </chartFormat>
    <chartFormat chart="0" format="51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10"/>
          </reference>
        </references>
      </pivotArea>
    </chartFormat>
    <chartFormat chart="0" format="51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11"/>
          </reference>
        </references>
      </pivotArea>
    </chartFormat>
    <chartFormat chart="1091" format="5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91" format="5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91" format="51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10"/>
          </reference>
        </references>
      </pivotArea>
    </chartFormat>
    <chartFormat chart="1091" format="51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11"/>
          </reference>
        </references>
      </pivotArea>
    </chartFormat>
    <chartFormat chart="1091" format="51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07"/>
          </reference>
        </references>
      </pivotArea>
    </chartFormat>
    <chartFormat chart="1092" format="5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92" format="5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92" format="52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10"/>
          </reference>
        </references>
      </pivotArea>
    </chartFormat>
    <chartFormat chart="1092" format="52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911"/>
          </reference>
        </references>
      </pivotArea>
    </chartFormat>
    <chartFormat chart="1092" format="52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07"/>
          </reference>
        </references>
      </pivotArea>
    </chartFormat>
    <chartFormat chart="0" format="51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15"/>
          </reference>
        </references>
      </pivotArea>
    </chartFormat>
    <chartFormat chart="1095" format="5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95" format="517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95" format="5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95" format="51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15"/>
          </reference>
        </references>
      </pivotArea>
    </chartFormat>
    <chartFormat chart="1095" format="52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95" format="52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07"/>
          </reference>
        </references>
      </pivotArea>
    </chartFormat>
    <chartFormat chart="1096" format="5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96" format="523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96" format="52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96" format="52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15"/>
          </reference>
        </references>
      </pivotArea>
    </chartFormat>
    <chartFormat chart="1096" format="52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096" format="52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07"/>
          </reference>
        </references>
      </pivotArea>
    </chartFormat>
    <chartFormat chart="0" format="51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21"/>
          </reference>
        </references>
      </pivotArea>
    </chartFormat>
    <chartFormat chart="1100" format="5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00" format="51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00" format="5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00" format="52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21"/>
          </reference>
        </references>
      </pivotArea>
    </chartFormat>
    <chartFormat chart="1100" format="52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01" format="5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01" format="523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01" format="52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01" format="52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21"/>
          </reference>
        </references>
      </pivotArea>
    </chartFormat>
    <chartFormat chart="1101" format="52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1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26"/>
          </reference>
        </references>
      </pivotArea>
    </chartFormat>
    <chartFormat chart="1104" format="5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04" format="51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04" format="5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04" format="52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26"/>
          </reference>
        </references>
      </pivotArea>
    </chartFormat>
    <chartFormat chart="1104" format="52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05" format="5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05" format="52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05" format="5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05" format="52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26"/>
          </reference>
        </references>
      </pivotArea>
    </chartFormat>
    <chartFormat chart="1105" format="52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1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31"/>
          </reference>
        </references>
      </pivotArea>
    </chartFormat>
    <chartFormat chart="1108" format="5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08" format="520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08" format="5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08" format="52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31"/>
          </reference>
        </references>
      </pivotArea>
    </chartFormat>
    <chartFormat chart="1108" format="52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09" format="5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09" format="525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09" format="5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09" format="52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31"/>
          </reference>
        </references>
      </pivotArea>
    </chartFormat>
    <chartFormat chart="1109" format="52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1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35"/>
          </reference>
        </references>
      </pivotArea>
    </chartFormat>
    <chartFormat chart="0" format="52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33"/>
          </reference>
        </references>
      </pivotArea>
    </chartFormat>
    <chartFormat chart="0" format="52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34"/>
          </reference>
        </references>
      </pivotArea>
    </chartFormat>
    <chartFormat chart="1112" format="5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12" format="523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12" format="52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12" format="525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34"/>
          </reference>
        </references>
      </pivotArea>
    </chartFormat>
    <chartFormat chart="1112" format="52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35"/>
          </reference>
        </references>
      </pivotArea>
    </chartFormat>
    <chartFormat chart="1112" format="52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12" format="52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33"/>
          </reference>
        </references>
      </pivotArea>
    </chartFormat>
    <chartFormat chart="1113" format="5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13" format="530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13" format="53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13" format="53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34"/>
          </reference>
        </references>
      </pivotArea>
    </chartFormat>
    <chartFormat chart="1113" format="53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35"/>
          </reference>
        </references>
      </pivotArea>
    </chartFormat>
    <chartFormat chart="1113" format="53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13" format="53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33"/>
          </reference>
        </references>
      </pivotArea>
    </chartFormat>
    <chartFormat chart="0" format="52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38"/>
          </reference>
        </references>
      </pivotArea>
    </chartFormat>
    <chartFormat chart="1116" format="5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16" format="52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16" format="5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16" format="52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38"/>
          </reference>
        </references>
      </pivotArea>
    </chartFormat>
    <chartFormat chart="1116" format="52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17" format="5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17" format="52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17" format="5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17" format="53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38"/>
          </reference>
        </references>
      </pivotArea>
    </chartFormat>
    <chartFormat chart="1117" format="53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2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42"/>
          </reference>
        </references>
      </pivotArea>
    </chartFormat>
    <chartFormat chart="1120" format="5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20" format="525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20" format="5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20" format="527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42"/>
          </reference>
        </references>
      </pivotArea>
    </chartFormat>
    <chartFormat chart="1120" format="52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21" format="5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21" format="530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21" format="53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21" format="53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42"/>
          </reference>
        </references>
      </pivotArea>
    </chartFormat>
    <chartFormat chart="1121" format="53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2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46"/>
          </reference>
        </references>
      </pivotArea>
    </chartFormat>
    <chartFormat chart="0" format="52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49"/>
          </reference>
        </references>
      </pivotArea>
    </chartFormat>
    <chartFormat chart="1124" format="5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24" format="527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24" format="52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24" format="52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49"/>
          </reference>
        </references>
      </pivotArea>
    </chartFormat>
    <chartFormat chart="1124" format="53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24" format="53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46"/>
          </reference>
        </references>
      </pivotArea>
    </chartFormat>
    <chartFormat chart="1125" format="5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25" format="533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25" format="53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25" format="53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49"/>
          </reference>
        </references>
      </pivotArea>
    </chartFormat>
    <chartFormat chart="1125" format="53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25" format="53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46"/>
          </reference>
        </references>
      </pivotArea>
    </chartFormat>
    <chartFormat chart="0" format="52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54"/>
          </reference>
        </references>
      </pivotArea>
    </chartFormat>
    <chartFormat chart="0" format="527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52"/>
          </reference>
        </references>
      </pivotArea>
    </chartFormat>
    <chartFormat chart="1128" format="5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28" format="52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28" format="5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28" format="53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52"/>
          </reference>
        </references>
      </pivotArea>
    </chartFormat>
    <chartFormat chart="1128" format="53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54"/>
          </reference>
        </references>
      </pivotArea>
    </chartFormat>
    <chartFormat chart="1128" format="53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29" format="5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29" format="535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29" format="53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29" format="537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52"/>
          </reference>
        </references>
      </pivotArea>
    </chartFormat>
    <chartFormat chart="1129" format="53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54"/>
          </reference>
        </references>
      </pivotArea>
    </chartFormat>
    <chartFormat chart="1129" format="53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2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59"/>
          </reference>
        </references>
      </pivotArea>
    </chartFormat>
    <chartFormat chart="1132" format="5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32" format="530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32" format="53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32" format="53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59"/>
          </reference>
        </references>
      </pivotArea>
    </chartFormat>
    <chartFormat chart="1132" format="53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33" format="5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33" format="535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33" format="53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33" format="53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59"/>
          </reference>
        </references>
      </pivotArea>
    </chartFormat>
    <chartFormat chart="1133" format="53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2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62"/>
          </reference>
        </references>
      </pivotArea>
    </chartFormat>
    <chartFormat chart="0" format="530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961"/>
          </reference>
        </references>
      </pivotArea>
    </chartFormat>
    <chartFormat chart="0" format="53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65"/>
          </reference>
        </references>
      </pivotArea>
    </chartFormat>
    <chartFormat chart="0" format="53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63"/>
          </reference>
        </references>
      </pivotArea>
    </chartFormat>
    <chartFormat chart="1137" format="5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37" format="53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37" format="53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37" format="53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63"/>
          </reference>
        </references>
      </pivotArea>
    </chartFormat>
    <chartFormat chart="1137" format="53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65"/>
          </reference>
        </references>
      </pivotArea>
    </chartFormat>
    <chartFormat chart="1137" format="53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37" format="539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961"/>
          </reference>
        </references>
      </pivotArea>
    </chartFormat>
    <chartFormat chart="1137" format="54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62"/>
          </reference>
        </references>
      </pivotArea>
    </chartFormat>
    <chartFormat chart="1138" format="5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38" format="542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38" format="5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38" format="544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63"/>
          </reference>
        </references>
      </pivotArea>
    </chartFormat>
    <chartFormat chart="1138" format="54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65"/>
          </reference>
        </references>
      </pivotArea>
    </chartFormat>
    <chartFormat chart="1138" format="54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38" format="547">
      <pivotArea type="data" outline="0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2" count="1" selected="0">
            <x v="961"/>
          </reference>
        </references>
      </pivotArea>
    </chartFormat>
    <chartFormat chart="1138" format="54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62"/>
          </reference>
        </references>
      </pivotArea>
    </chartFormat>
    <chartFormat chart="0" format="53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67"/>
          </reference>
        </references>
      </pivotArea>
    </chartFormat>
    <chartFormat chart="0" format="53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70"/>
          </reference>
        </references>
      </pivotArea>
    </chartFormat>
    <chartFormat chart="0" format="535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68"/>
          </reference>
        </references>
      </pivotArea>
    </chartFormat>
    <chartFormat chart="1141" format="5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41" format="537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41" format="53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41" format="539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68"/>
          </reference>
        </references>
      </pivotArea>
    </chartFormat>
    <chartFormat chart="1141" format="54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70"/>
          </reference>
        </references>
      </pivotArea>
    </chartFormat>
    <chartFormat chart="1141" format="54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41" format="54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67"/>
          </reference>
        </references>
      </pivotArea>
    </chartFormat>
    <chartFormat chart="1142" format="5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42" format="54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42" format="54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42" format="54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968"/>
          </reference>
        </references>
      </pivotArea>
    </chartFormat>
    <chartFormat chart="1142" format="54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70"/>
          </reference>
        </references>
      </pivotArea>
    </chartFormat>
    <chartFormat chart="1142" format="54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42" format="54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67"/>
          </reference>
        </references>
      </pivotArea>
    </chartFormat>
    <chartFormat chart="0" format="53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72"/>
          </reference>
        </references>
      </pivotArea>
    </chartFormat>
    <chartFormat chart="0" format="53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75"/>
          </reference>
        </references>
      </pivotArea>
    </chartFormat>
    <chartFormat chart="1145" format="5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45" format="53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45" format="54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45" format="54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75"/>
          </reference>
        </references>
      </pivotArea>
    </chartFormat>
    <chartFormat chart="1145" format="54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45" format="54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72"/>
          </reference>
        </references>
      </pivotArea>
    </chartFormat>
    <chartFormat chart="1146" format="5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46" format="545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46" format="54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46" format="54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75"/>
          </reference>
        </references>
      </pivotArea>
    </chartFormat>
    <chartFormat chart="1146" format="54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46" format="54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72"/>
          </reference>
        </references>
      </pivotArea>
    </chartFormat>
    <chartFormat chart="0" format="53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81"/>
          </reference>
        </references>
      </pivotArea>
    </chartFormat>
    <chartFormat chart="0" format="53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78"/>
          </reference>
        </references>
      </pivotArea>
    </chartFormat>
    <chartFormat chart="1149" format="5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49" format="54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49" format="54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49" format="54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81"/>
          </reference>
        </references>
      </pivotArea>
    </chartFormat>
    <chartFormat chart="1149" format="54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49" format="54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78"/>
          </reference>
        </references>
      </pivotArea>
    </chartFormat>
    <chartFormat chart="1150" format="54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50" format="547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50" format="54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50" format="54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81"/>
          </reference>
        </references>
      </pivotArea>
    </chartFormat>
    <chartFormat chart="1150" format="55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50" format="55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78"/>
          </reference>
        </references>
      </pivotArea>
    </chartFormat>
    <chartFormat chart="0" format="54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86"/>
          </reference>
        </references>
      </pivotArea>
    </chartFormat>
    <chartFormat chart="0" format="54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83"/>
          </reference>
        </references>
      </pivotArea>
    </chartFormat>
    <chartFormat chart="1155" format="5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55" format="543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55" format="5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55" format="54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86"/>
          </reference>
        </references>
      </pivotArea>
    </chartFormat>
    <chartFormat chart="1155" format="54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55" format="547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83"/>
          </reference>
        </references>
      </pivotArea>
    </chartFormat>
    <chartFormat chart="1156" format="5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56" format="54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56" format="55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56" format="55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86"/>
          </reference>
        </references>
      </pivotArea>
    </chartFormat>
    <chartFormat chart="1156" format="55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56" format="55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83"/>
          </reference>
        </references>
      </pivotArea>
    </chartFormat>
    <chartFormat chart="0" format="54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91"/>
          </reference>
        </references>
      </pivotArea>
    </chartFormat>
    <chartFormat chart="1159" format="5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59" format="54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59" format="54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59" format="54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91"/>
          </reference>
        </references>
      </pivotArea>
    </chartFormat>
    <chartFormat chart="1159" format="54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59" format="54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83"/>
          </reference>
        </references>
      </pivotArea>
    </chartFormat>
    <chartFormat chart="1160" format="5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60" format="550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60" format="5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60" format="55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991"/>
          </reference>
        </references>
      </pivotArea>
    </chartFormat>
    <chartFormat chart="1160" format="55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60" format="554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83"/>
          </reference>
        </references>
      </pivotArea>
    </chartFormat>
    <chartFormat chart="1163" format="5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63" format="54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63" format="54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63" format="54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64" format="5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64" format="54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64" format="54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64" format="55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43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99"/>
          </reference>
        </references>
      </pivotArea>
    </chartFormat>
    <chartFormat chart="0" format="54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02"/>
          </reference>
        </references>
      </pivotArea>
    </chartFormat>
    <chartFormat chart="1167" format="5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67" format="546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67" format="54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67" format="54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02"/>
          </reference>
        </references>
      </pivotArea>
    </chartFormat>
    <chartFormat chart="1167" format="54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67" format="55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99"/>
          </reference>
        </references>
      </pivotArea>
    </chartFormat>
    <chartFormat chart="1168" format="5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68" format="552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68" format="5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68" format="55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02"/>
          </reference>
        </references>
      </pivotArea>
    </chartFormat>
    <chartFormat chart="1168" format="55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68" format="55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999"/>
          </reference>
        </references>
      </pivotArea>
    </chartFormat>
    <chartFormat chart="0" format="54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07"/>
          </reference>
        </references>
      </pivotArea>
    </chartFormat>
    <chartFormat chart="0" format="54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004"/>
          </reference>
        </references>
      </pivotArea>
    </chartFormat>
    <chartFormat chart="1171" format="5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71" format="54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71" format="54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71" format="55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07"/>
          </reference>
        </references>
      </pivotArea>
    </chartFormat>
    <chartFormat chart="1171" format="55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71" format="55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004"/>
          </reference>
        </references>
      </pivotArea>
    </chartFormat>
    <chartFormat chart="1172" format="5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72" format="54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72" format="54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72" format="55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07"/>
          </reference>
        </references>
      </pivotArea>
    </chartFormat>
    <chartFormat chart="1172" format="55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72" format="552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004"/>
          </reference>
        </references>
      </pivotArea>
    </chartFormat>
    <chartFormat chart="1173" format="5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73" format="55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73" format="5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73" format="55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07"/>
          </reference>
        </references>
      </pivotArea>
    </chartFormat>
    <chartFormat chart="1173" format="55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73" format="558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004"/>
          </reference>
        </references>
      </pivotArea>
    </chartFormat>
    <chartFormat chart="1176" format="5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76" format="54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76" format="54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76" format="55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77" format="5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77" format="552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77" format="5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77" format="55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4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15"/>
          </reference>
        </references>
      </pivotArea>
    </chartFormat>
    <chartFormat chart="1180" format="5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80" format="54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80" format="55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80" format="55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15"/>
          </reference>
        </references>
      </pivotArea>
    </chartFormat>
    <chartFormat chart="1180" format="55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81" format="5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81" format="55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81" format="5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81" format="55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15"/>
          </reference>
        </references>
      </pivotArea>
    </chartFormat>
    <chartFormat chart="1181" format="55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4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19"/>
          </reference>
        </references>
      </pivotArea>
    </chartFormat>
    <chartFormat chart="0" format="54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017"/>
          </reference>
        </references>
      </pivotArea>
    </chartFormat>
    <chartFormat chart="1184" format="5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84" format="55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84" format="5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84" format="55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19"/>
          </reference>
        </references>
      </pivotArea>
    </chartFormat>
    <chartFormat chart="1184" format="55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84" format="555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017"/>
          </reference>
        </references>
      </pivotArea>
    </chartFormat>
    <chartFormat chart="1185" format="5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85" format="557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85" format="5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85" format="55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19"/>
          </reference>
        </references>
      </pivotArea>
    </chartFormat>
    <chartFormat chart="1185" format="56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85" format="561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017"/>
          </reference>
        </references>
      </pivotArea>
    </chartFormat>
    <chartFormat chart="0" format="55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021"/>
          </reference>
        </references>
      </pivotArea>
    </chartFormat>
    <chartFormat chart="0" format="55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24"/>
          </reference>
        </references>
      </pivotArea>
    </chartFormat>
    <chartFormat chart="0" format="55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022"/>
          </reference>
        </references>
      </pivotArea>
    </chartFormat>
    <chartFormat chart="1188" format="5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88" format="55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88" format="5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88" format="556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022"/>
          </reference>
        </references>
      </pivotArea>
    </chartFormat>
    <chartFormat chart="1188" format="55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24"/>
          </reference>
        </references>
      </pivotArea>
    </chartFormat>
    <chartFormat chart="1188" format="55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88" format="559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021"/>
          </reference>
        </references>
      </pivotArea>
    </chartFormat>
    <chartFormat chart="1189" format="5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89" format="56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89" format="56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89" format="56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1022"/>
          </reference>
        </references>
      </pivotArea>
    </chartFormat>
    <chartFormat chart="1189" format="56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24"/>
          </reference>
        </references>
      </pivotArea>
    </chartFormat>
    <chartFormat chart="1189" format="56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89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021"/>
          </reference>
        </references>
      </pivotArea>
    </chartFormat>
    <chartFormat chart="1192" format="5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92" format="55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92" format="5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92" format="55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93" format="5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93" format="55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93" format="55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93" format="56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5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30"/>
          </reference>
        </references>
      </pivotArea>
    </chartFormat>
    <chartFormat chart="1196" format="5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96" format="555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96" format="5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96" format="55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30"/>
          </reference>
        </references>
      </pivotArea>
    </chartFormat>
    <chartFormat chart="1196" format="55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97" format="5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97" format="560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197" format="5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97" format="56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30"/>
          </reference>
        </references>
      </pivotArea>
    </chartFormat>
    <chartFormat chart="1197" format="56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5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33"/>
          </reference>
        </references>
      </pivotArea>
    </chartFormat>
    <chartFormat chart="1201" format="5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01" format="556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01" format="5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01" format="55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33"/>
          </reference>
        </references>
      </pivotArea>
    </chartFormat>
    <chartFormat chart="1201" format="55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01" format="560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017"/>
          </reference>
        </references>
      </pivotArea>
    </chartFormat>
    <chartFormat chart="1202" format="56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02" format="562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02" format="5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02" format="56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33"/>
          </reference>
        </references>
      </pivotArea>
    </chartFormat>
    <chartFormat chart="1202" format="56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02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7"/>
          </reference>
          <reference field="2" count="1" selected="0">
            <x v="1017"/>
          </reference>
        </references>
      </pivotArea>
    </chartFormat>
    <chartFormat chart="1205" format="5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05" format="556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05" format="5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05" format="55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06" format="5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06" format="560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06" format="5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06" format="56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5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45"/>
          </reference>
        </references>
      </pivotArea>
    </chartFormat>
    <chartFormat chart="0" format="55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49"/>
          </reference>
        </references>
      </pivotArea>
    </chartFormat>
    <chartFormat chart="1214" format="5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14" format="55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14" format="55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14" format="56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49"/>
          </reference>
        </references>
      </pivotArea>
    </chartFormat>
    <chartFormat chart="1214" format="56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15" format="5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15" format="563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15" format="56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15" format="56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49"/>
          </reference>
        </references>
      </pivotArea>
    </chartFormat>
    <chartFormat chart="1215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5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52"/>
          </reference>
        </references>
      </pivotArea>
    </chartFormat>
    <chartFormat chart="1218" format="5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18" format="55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18" format="56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18" format="56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52"/>
          </reference>
        </references>
      </pivotArea>
    </chartFormat>
    <chartFormat chart="1218" format="56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19" format="5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19" format="56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19" format="5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19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52"/>
          </reference>
        </references>
      </pivotArea>
    </chartFormat>
    <chartFormat chart="1219" format="56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5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56"/>
          </reference>
        </references>
      </pivotArea>
    </chartFormat>
    <chartFormat chart="1222" format="5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22" format="560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22" format="5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22" format="56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56"/>
          </reference>
        </references>
      </pivotArea>
    </chartFormat>
    <chartFormat chart="1222" format="56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23" format="5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23" format="565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23" format="56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23" format="56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56"/>
          </reference>
        </references>
      </pivotArea>
    </chartFormat>
    <chartFormat chart="1223" format="56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5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60"/>
          </reference>
        </references>
      </pivotArea>
    </chartFormat>
    <chartFormat chart="1226" format="5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26" format="56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26" format="56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26" format="56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60"/>
          </reference>
        </references>
      </pivotArea>
    </chartFormat>
    <chartFormat chart="1226" format="56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27" format="5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27" format="566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27" format="56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27" format="56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60"/>
          </reference>
        </references>
      </pivotArea>
    </chartFormat>
    <chartFormat chart="1227" format="56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30" format="5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30" format="56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30" format="56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30" format="56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31" format="5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31" format="565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31" format="56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31" format="56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34" format="5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34" format="56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34" format="56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34" format="56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35" format="5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35" format="565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35" format="56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35" format="56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38" format="5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38" format="56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38" format="56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38" format="56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39" format="5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39" format="565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39" format="56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39" format="56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6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82"/>
          </reference>
        </references>
      </pivotArea>
    </chartFormat>
    <chartFormat chart="1243" format="56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43" format="562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43" format="5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43" format="56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82"/>
          </reference>
        </references>
      </pivotArea>
    </chartFormat>
    <chartFormat chart="1243" format="56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44" format="5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44" format="567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44" format="56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44" format="56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082"/>
          </reference>
        </references>
      </pivotArea>
    </chartFormat>
    <chartFormat chart="1244" format="57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47" format="56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47" format="562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47" format="5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47" format="56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48" format="5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48" format="566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48" format="56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48" format="56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52" format="56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52" format="562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52" format="5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52" format="56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53" format="5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53" format="566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53" format="56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53" format="56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63" format="56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63" format="562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63" format="5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63" format="56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64" format="5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64" format="566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64" format="56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64" format="56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67" format="56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67" format="562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67" format="5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67" format="56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68" format="5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68" format="566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68" format="56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68" format="56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71" format="56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1" format="562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71" format="5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1" format="56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72" format="5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2" format="566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72" format="56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2" format="56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75" format="56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5" format="562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75" format="5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5" format="56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76" format="5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6" format="566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76" format="56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6" format="56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6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114"/>
          </reference>
        </references>
      </pivotArea>
    </chartFormat>
    <chartFormat chart="1279" format="5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9" format="563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79" format="56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9" format="56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114"/>
          </reference>
        </references>
      </pivotArea>
    </chartFormat>
    <chartFormat chart="1279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80" format="5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0" format="56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80" format="56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0" format="570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114"/>
          </reference>
        </references>
      </pivotArea>
    </chartFormat>
    <chartFormat chart="1280" format="57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6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119"/>
          </reference>
        </references>
      </pivotArea>
    </chartFormat>
    <chartFormat chart="1283" format="5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3" format="56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83" format="5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3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119"/>
          </reference>
        </references>
      </pivotArea>
    </chartFormat>
    <chartFormat chart="1283" format="567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84" format="56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4" format="56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84" format="57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4" format="571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119"/>
          </reference>
        </references>
      </pivotArea>
    </chartFormat>
    <chartFormat chart="1284" format="572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87" format="5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7" format="56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87" format="5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7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88" format="5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8" format="56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88" format="56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8" format="57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93" format="5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93" format="56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93" format="5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93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94" format="5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94" format="56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94" format="56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94" format="57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97" format="5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97" format="56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97" format="5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97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98" format="5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98" format="56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298" format="56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98" format="57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01" format="5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01" format="56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01" format="5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01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02" format="5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02" format="56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02" format="56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02" format="57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05" format="5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05" format="56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05" format="5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05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06" format="5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06" format="56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06" format="56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06" format="57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09" format="5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09" format="56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09" format="5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09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10" format="5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10" format="56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10" format="56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10" format="57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13" format="5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13" format="56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13" format="5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13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14" format="5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14" format="56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14" format="56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14" format="57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17" format="5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17" format="56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17" format="5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17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18" format="5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18" format="56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18" format="56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18" format="57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21" format="5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21" format="56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21" format="5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21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22" format="5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22" format="56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22" format="56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22" format="57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25" format="5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25" format="56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25" format="5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25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26" format="5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26" format="56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26" format="56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26" format="57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29" format="5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29" format="56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29" format="5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29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30" format="5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30" format="56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30" format="56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30" format="57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33" format="5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33" format="56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33" format="5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33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34" format="5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34" format="56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34" format="56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34" format="57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37" format="5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37" format="56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37" format="5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37" format="566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38" format="5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38" format="56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38" format="56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38" format="57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6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192"/>
          </reference>
        </references>
      </pivotArea>
    </chartFormat>
    <chartFormat chart="1341" format="5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41" format="565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41" format="56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41" format="567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192"/>
          </reference>
        </references>
      </pivotArea>
    </chartFormat>
    <chartFormat chart="1341" format="568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42" format="56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42" format="570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42" format="57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42" format="572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192"/>
          </reference>
        </references>
      </pivotArea>
    </chartFormat>
    <chartFormat chart="1342" format="57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6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197"/>
          </reference>
        </references>
      </pivotArea>
    </chartFormat>
    <chartFormat chart="1345" format="5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45" format="566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45" format="56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45" format="568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197"/>
          </reference>
        </references>
      </pivotArea>
    </chartFormat>
    <chartFormat chart="1345" format="56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46" format="5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46" format="57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46" format="57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46" format="573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197"/>
          </reference>
        </references>
      </pivotArea>
    </chartFormat>
    <chartFormat chart="1346" format="57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56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201"/>
          </reference>
        </references>
      </pivotArea>
    </chartFormat>
    <chartFormat chart="1349" format="5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49" format="567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49" format="56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49" format="569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201"/>
          </reference>
        </references>
      </pivotArea>
    </chartFormat>
    <chartFormat chart="1349" format="57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50" format="5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50" format="572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50" format="57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50" format="57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201"/>
          </reference>
        </references>
      </pivotArea>
    </chartFormat>
    <chartFormat chart="1350" format="575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53" format="5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53" format="567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53" format="56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53" format="56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54" format="5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54" format="57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54" format="57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54" format="57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57" format="5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57" format="567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57" format="56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57" format="56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58" format="5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58" format="57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58" format="57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58" format="57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61" format="5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61" format="567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61" format="56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61" format="56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62" format="5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62" format="57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62" format="57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62" format="57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65" format="5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65" format="567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65" format="56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65" format="569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66" format="5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66" format="57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66" format="57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66" format="57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79" format="5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79" format="57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79" format="57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79" format="573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379" format="574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226"/>
          </reference>
        </references>
      </pivotArea>
    </chartFormat>
    <chartFormat chart="1379" format="575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231"/>
          </reference>
        </references>
      </pivotArea>
    </chartFormat>
    <chartFormat chart="1379" format="576">
      <pivotArea type="data" outline="0" fieldPosition="0">
        <references count="3">
          <reference field="4294967294" count="1" selected="0">
            <x v="1"/>
          </reference>
          <reference field="0" count="1" selected="0">
            <x v="4"/>
          </reference>
          <reference field="2" count="1" selected="0">
            <x v="1235"/>
          </reference>
        </references>
      </pivotArea>
    </chartFormat>
    <chartFormat chart="1540" format="5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40" format="57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540" format="57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40" format="58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541" format="58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41" format="582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541" format="58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41" format="58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904" format="5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04" format="57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904" format="57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04" format="580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905" format="58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05" format="582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905" format="58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05" format="584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25">
  <location ref="A26:C27" firstHeaderRow="0" firstDataRow="1" firstDataCol="1"/>
  <pivotFields count="10">
    <pivotField axis="axisRow" showAll="0">
      <items count="26">
        <item h="1" m="1" x="19"/>
        <item h="1" m="1" x="9"/>
        <item h="1" m="1" x="12"/>
        <item n=" WH No 02" m="1" x="17"/>
        <item h="1" m="1" x="21"/>
        <item h="1" m="1" x="11"/>
        <item h="1" m="1" x="23"/>
        <item h="1" m="1" x="18"/>
        <item h="1" x="7"/>
        <item h="1" m="1" x="24"/>
        <item h="1" m="1" x="20"/>
        <item h="1" m="1" x="22"/>
        <item h="1" m="1" x="10"/>
        <item h="1" m="1" x="8"/>
        <item h="1" x="0"/>
        <item h="1" x="2"/>
        <item h="1" x="6"/>
        <item h="1" m="1" x="13"/>
        <item h="1" x="3"/>
        <item h="1" m="1" x="15"/>
        <item h="1" m="1" x="14"/>
        <item h="1" x="4"/>
        <item h="1" x="5"/>
        <item h="1" m="1" x="16"/>
        <item h="1" x="1"/>
        <item t="default"/>
      </items>
    </pivotField>
    <pivotField dataField="1" showAll="0"/>
    <pivotField axis="axisRow" numFmtId="9" showAll="0">
      <items count="4316">
        <item x="4"/>
        <item m="1" x="1620"/>
        <item m="1" x="32"/>
        <item m="1" x="3613"/>
        <item m="1" x="4113"/>
        <item m="1" x="2041"/>
        <item m="1" x="3667"/>
        <item m="1" x="2947"/>
        <item m="1" x="3848"/>
        <item m="1" x="662"/>
        <item m="1" x="180"/>
        <item m="1" x="2365"/>
        <item m="1" x="4306"/>
        <item m="1" x="1365"/>
        <item m="1" x="566"/>
        <item m="1" x="3057"/>
        <item m="1" x="3753"/>
        <item m="1" x="2332"/>
        <item m="1" x="3151"/>
        <item m="1" x="722"/>
        <item m="1" x="1787"/>
        <item m="1" x="1432"/>
        <item m="1" x="461"/>
        <item m="1" x="2387"/>
        <item m="1" x="600"/>
        <item m="1" x="2034"/>
        <item m="1" x="3716"/>
        <item m="1" x="2514"/>
        <item m="1" x="4290"/>
        <item m="1" x="2824"/>
        <item m="1" x="728"/>
        <item m="1" x="4185"/>
        <item m="1" x="2410"/>
        <item m="1" x="339"/>
        <item m="1" x="3596"/>
        <item m="1" x="3207"/>
        <item m="1" x="3515"/>
        <item m="1" x="3331"/>
        <item m="1" x="4293"/>
        <item m="1" x="3364"/>
        <item m="1" x="2372"/>
        <item m="1" x="296"/>
        <item m="1" x="1596"/>
        <item m="1" x="118"/>
        <item m="1" x="3070"/>
        <item m="1" x="210"/>
        <item m="1" x="3356"/>
        <item m="1" x="1581"/>
        <item m="1" x="918"/>
        <item m="1" x="3511"/>
        <item m="1" x="2906"/>
        <item m="1" x="181"/>
        <item m="1" x="1574"/>
        <item m="1" x="1214"/>
        <item m="1" x="3911"/>
        <item m="1" x="1031"/>
        <item m="1" x="3363"/>
        <item m="1" x="1732"/>
        <item m="1" x="857"/>
        <item m="1" x="4066"/>
        <item m="1" x="4161"/>
        <item m="1" x="115"/>
        <item m="1" x="2621"/>
        <item m="1" x="3855"/>
        <item m="1" x="315"/>
        <item m="1" x="860"/>
        <item m="1" x="1179"/>
        <item m="1" x="1331"/>
        <item m="1" x="784"/>
        <item m="1" x="2220"/>
        <item m="1" x="4227"/>
        <item m="1" x="3110"/>
        <item m="1" x="336"/>
        <item m="1" x="3975"/>
        <item m="1" x="3025"/>
        <item m="1" x="3219"/>
        <item m="1" x="1882"/>
        <item m="1" x="4093"/>
        <item m="1" x="3340"/>
        <item m="1" x="2602"/>
        <item m="1" x="2994"/>
        <item m="1" x="1197"/>
        <item m="1" x="474"/>
        <item m="1" x="1043"/>
        <item m="1" x="2455"/>
        <item m="1" x="790"/>
        <item m="1" x="1855"/>
        <item m="1" x="372"/>
        <item m="1" x="2861"/>
        <item m="1" x="3534"/>
        <item m="1" x="1101"/>
        <item m="1" x="1246"/>
        <item m="1" x="1324"/>
        <item m="1" x="3805"/>
        <item m="1" x="2028"/>
        <item m="1" x="931"/>
        <item m="1" x="3255"/>
        <item m="1" x="172"/>
        <item m="1" x="767"/>
        <item m="1" x="2184"/>
        <item m="1" x="1790"/>
        <item m="1" x="2722"/>
        <item m="1" x="1626"/>
        <item m="1" x="3986"/>
        <item m="1" x="1125"/>
        <item m="1" x="3961"/>
        <item m="1" x="1077"/>
        <item m="1" x="2500"/>
        <item m="1" x="919"/>
        <item m="1" x="3384"/>
        <item m="1" x="3697"/>
        <item m="1" x="1308"/>
        <item m="1" x="3075"/>
        <item m="1" x="342"/>
        <item m="1" x="3814"/>
        <item m="1" x="809"/>
        <item m="1" x="3981"/>
        <item m="1" x="2373"/>
        <item m="1" x="2688"/>
        <item m="1" x="3268"/>
        <item m="1" x="1835"/>
        <item m="1" x="1912"/>
        <item m="1" x="3865"/>
        <item m="1" x="273"/>
        <item m="1" x="3375"/>
        <item m="1" x="2119"/>
        <item m="1" x="215"/>
        <item m="1" x="366"/>
        <item m="1" x="2428"/>
        <item m="1" x="1160"/>
        <item m="1" x="2404"/>
        <item m="1" x="3976"/>
        <item m="1" x="3315"/>
        <item m="1" x="3197"/>
        <item m="1" x="2515"/>
        <item m="1" x="3608"/>
        <item m="1" x="1565"/>
        <item m="1" x="467"/>
        <item m="1" x="2813"/>
        <item m="1" x="3483"/>
        <item m="1" x="4074"/>
        <item m="1" x="1833"/>
        <item m="1" x="2222"/>
        <item m="1" x="99"/>
        <item m="1" x="1321"/>
        <item m="1" x="1588"/>
        <item m="1" x="294"/>
        <item m="1" x="2567"/>
        <item m="1" x="2973"/>
        <item m="1" x="1117"/>
        <item m="1" x="1675"/>
        <item m="1" x="1972"/>
        <item m="1" x="2431"/>
        <item m="1" x="4238"/>
        <item m="1" x="2909"/>
        <item m="1" x="3603"/>
        <item m="1" x="2308"/>
        <item m="1" x="4222"/>
        <item m="1" x="3109"/>
        <item m="1" x="3750"/>
        <item m="1" x="442"/>
        <item m="1" x="2488"/>
        <item m="1" x="694"/>
        <item m="1" x="393"/>
        <item x="6"/>
        <item m="1" x="3215"/>
        <item m="1" x="1625"/>
        <item m="1" x="1564"/>
        <item m="1" x="2980"/>
        <item m="1" x="3257"/>
        <item m="1" x="3936"/>
        <item m="1" x="4145"/>
        <item m="1" x="2847"/>
        <item m="1" x="1439"/>
        <item m="1" x="553"/>
        <item m="1" x="572"/>
        <item m="1" x="3568"/>
        <item m="1" x="3938"/>
        <item m="1" x="926"/>
        <item m="1" x="3311"/>
        <item m="1" x="2247"/>
        <item m="1" x="3629"/>
        <item m="1" x="3636"/>
        <item m="1" x="612"/>
        <item m="1" x="1313"/>
        <item m="1" x="3949"/>
        <item m="1" x="3602"/>
        <item m="1" x="394"/>
        <item m="1" x="2442"/>
        <item m="1" x="4084"/>
        <item m="1" x="2386"/>
        <item m="1" x="2497"/>
        <item m="1" x="4242"/>
        <item m="1" x="2995"/>
        <item m="1" x="1112"/>
        <item m="1" x="2299"/>
        <item m="1" x="4041"/>
        <item m="1" x="3093"/>
        <item m="1" x="962"/>
        <item m="1" x="3049"/>
        <item m="1" x="723"/>
        <item m="1" x="2244"/>
        <item m="1" x="816"/>
        <item m="1" x="777"/>
        <item m="1" x="2513"/>
        <item m="1" x="1304"/>
        <item m="1" x="3681"/>
        <item m="1" x="1122"/>
        <item m="1" x="3994"/>
        <item m="1" x="4055"/>
        <item m="1" x="737"/>
        <item m="1" x="2711"/>
        <item m="1" x="579"/>
        <item m="1" x="249"/>
        <item m="1" x="3139"/>
        <item m="1" x="79"/>
        <item m="1" x="2083"/>
        <item m="1" x="3710"/>
        <item m="1" x="2215"/>
        <item m="1" x="624"/>
        <item m="1" x="3217"/>
        <item m="1" x="225"/>
        <item m="1" x="555"/>
        <item m="1" x="2350"/>
        <item m="1" x="1414"/>
        <item m="1" x="692"/>
        <item m="1" x="405"/>
        <item m="1" x="4082"/>
        <item m="1" x="3656"/>
        <item m="1" x="1142"/>
        <item m="1" x="3735"/>
        <item m="1" x="995"/>
        <item m="1" x="3923"/>
        <item m="1" x="1841"/>
        <item m="1" x="2941"/>
        <item m="1" x="1569"/>
        <item m="1" x="929"/>
        <item m="1" x="556"/>
        <item m="1" x="2238"/>
        <item m="1" x="2408"/>
        <item m="1" x="1538"/>
        <item m="1" x="371"/>
        <item m="1" x="466"/>
        <item m="1" x="636"/>
        <item m="1" x="1034"/>
        <item m="1" x="2267"/>
        <item m="1" x="424"/>
        <item m="1" x="2481"/>
        <item m="1" x="3641"/>
        <item m="1" x="2123"/>
        <item m="1" x="1044"/>
        <item m="1" x="3587"/>
        <item m="1" x="2017"/>
        <item m="1" x="1411"/>
        <item m="1" x="1351"/>
        <item m="1" x="2674"/>
        <item m="1" x="45"/>
        <item m="1" x="3446"/>
        <item m="1" x="1838"/>
        <item m="1" x="1269"/>
        <item m="1" x="611"/>
        <item m="1" x="3646"/>
        <item m="1" x="850"/>
        <item m="1" x="1690"/>
        <item m="1" x="3831"/>
        <item m="1" x="3774"/>
        <item m="1" x="2147"/>
        <item m="1" x="2934"/>
        <item m="1" x="2565"/>
        <item m="1" x="1080"/>
        <item m="1" x="21"/>
        <item m="1" x="1284"/>
        <item m="1" x="431"/>
        <item m="1" x="3125"/>
        <item m="1" x="3663"/>
        <item m="1" x="3229"/>
        <item m="1" x="826"/>
        <item m="1" x="332"/>
        <item m="1" x="898"/>
        <item m="1" x="1151"/>
        <item m="1" x="708"/>
        <item m="1" x="4218"/>
        <item m="1" x="2361"/>
        <item m="1" x="1705"/>
        <item m="1" x="865"/>
        <item m="1" x="1867"/>
        <item m="1" x="2908"/>
        <item m="1" x="1316"/>
        <item m="1" x="455"/>
        <item m="1" x="1739"/>
        <item m="1" x="4106"/>
        <item m="1" x="1480"/>
        <item m="1" x="3407"/>
        <item m="1" x="2503"/>
        <item m="1" x="2742"/>
        <item m="1" x="3018"/>
        <item m="1" x="121"/>
        <item m="1" x="3082"/>
        <item m="1" x="669"/>
        <item m="1" x="3755"/>
        <item m="1" x="946"/>
        <item m="1" x="2018"/>
        <item m="1" x="3821"/>
        <item m="1" x="2394"/>
        <item m="1" x="3409"/>
        <item m="1" x="769"/>
        <item m="1" x="429"/>
        <item m="1" x="780"/>
        <item m="1" x="730"/>
        <item m="1" x="2838"/>
        <item m="1" x="428"/>
        <item m="1" x="3823"/>
        <item m="1" x="2262"/>
        <item m="1" x="830"/>
        <item m="1" x="1938"/>
        <item m="1" x="631"/>
        <item m="1" x="1983"/>
        <item m="1" x="484"/>
        <item m="1" x="836"/>
        <item m="1" x="3385"/>
        <item m="1" x="2266"/>
        <item m="1" x="4244"/>
        <item m="1" x="633"/>
        <item m="1" x="1949"/>
        <item m="1" x="2315"/>
        <item m="1" x="1573"/>
        <item m="1" x="2938"/>
        <item m="1" x="2662"/>
        <item m="1" x="437"/>
        <item m="1" x="1936"/>
        <item m="1" x="2462"/>
        <item m="1" x="4056"/>
        <item m="1" x="3436"/>
        <item m="1" x="1847"/>
        <item m="1" x="2414"/>
        <item m="1" x="3438"/>
        <item m="1" x="297"/>
        <item m="1" x="2687"/>
        <item m="1" x="749"/>
        <item m="1" x="1610"/>
        <item m="1" x="395"/>
        <item m="1" x="2166"/>
        <item m="1" x="554"/>
        <item m="1" x="10"/>
        <item m="1" x="4201"/>
        <item m="1" x="4116"/>
        <item m="1" x="346"/>
        <item m="1" x="3345"/>
        <item m="1" x="364"/>
        <item m="1" x="877"/>
        <item m="1" x="3536"/>
        <item m="1" x="3026"/>
        <item m="1" x="3352"/>
        <item m="1" x="1238"/>
        <item m="1" x="1903"/>
        <item m="1" x="240"/>
        <item m="1" x="2570"/>
        <item m="1" x="3249"/>
        <item m="1" x="691"/>
        <item m="1" x="2246"/>
        <item m="1" x="560"/>
        <item m="1" x="3195"/>
        <item m="1" x="2045"/>
        <item m="1" x="1454"/>
        <item m="1" x="1441"/>
        <item m="1" x="4014"/>
        <item m="1" x="758"/>
        <item m="1" x="101"/>
        <item m="1" x="2860"/>
        <item m="1" x="2563"/>
        <item m="1" x="3859"/>
        <item m="1" x="965"/>
        <item m="1" x="3304"/>
        <item m="1" x="1497"/>
        <item m="1" x="3577"/>
        <item m="1" x="2807"/>
        <item m="1" x="2182"/>
        <item m="1" x="2452"/>
        <item m="1" x="338"/>
        <item m="1" x="2170"/>
        <item m="1" x="155"/>
        <item m="1" x="1943"/>
        <item m="1" x="2048"/>
        <item m="1" x="2168"/>
        <item m="1" x="139"/>
        <item m="1" x="3241"/>
        <item m="1" x="1443"/>
        <item m="1" x="1587"/>
        <item m="1" x="1645"/>
        <item m="1" x="149"/>
        <item m="1" x="1879"/>
        <item m="1" x="1491"/>
        <item m="1" x="2528"/>
        <item m="1" x="3935"/>
        <item m="1" x="1988"/>
        <item m="1" x="2991"/>
        <item m="1" x="1729"/>
        <item m="1" x="2971"/>
        <item m="1" x="1939"/>
        <item m="1" x="24"/>
        <item m="1" x="2086"/>
        <item m="1" x="3934"/>
        <item m="1" x="1528"/>
        <item m="1" x="2194"/>
        <item m="1" x="4013"/>
        <item m="1" x="3086"/>
        <item m="1" x="2434"/>
        <item m="1" x="764"/>
        <item m="1" x="2781"/>
        <item m="1" x="1005"/>
        <item m="1" x="1210"/>
        <item m="1" x="3443"/>
        <item m="1" x="2974"/>
        <item m="1" x="3326"/>
        <item m="1" x="2505"/>
        <item m="1" x="960"/>
        <item m="1" x="1554"/>
        <item m="1" x="1248"/>
        <item m="1" x="1212"/>
        <item m="1" x="3335"/>
        <item m="1" x="1485"/>
        <item m="1" x="48"/>
        <item m="1" x="2762"/>
        <item m="1" x="646"/>
        <item m="1" x="3283"/>
        <item m="1" x="2122"/>
        <item m="1" x="3576"/>
        <item m="1" x="685"/>
        <item m="1" x="4206"/>
        <item m="1" x="1805"/>
        <item m="1" x="3119"/>
        <item m="1" x="1941"/>
        <item m="1" x="653"/>
        <item m="1" x="3457"/>
        <item m="1" x="340"/>
        <item m="1" x="4022"/>
        <item m="1" x="201"/>
        <item m="1" x="2279"/>
        <item m="1" x="577"/>
        <item m="1" x="4032"/>
        <item m="1" x="1277"/>
        <item m="1" x="1966"/>
        <item m="1" x="3066"/>
        <item m="1" x="1926"/>
        <item m="1" x="989"/>
        <item m="1" x="2744"/>
        <item m="1" x="1642"/>
        <item m="1" x="2859"/>
        <item m="1" x="1074"/>
        <item m="1" x="969"/>
        <item m="1" x="2756"/>
        <item m="1" x="2440"/>
        <item m="1" x="3040"/>
        <item m="1" x="133"/>
        <item m="1" x="2241"/>
        <item m="1" x="4015"/>
        <item m="1" x="2831"/>
        <item m="1" x="2917"/>
        <item m="1" x="1199"/>
        <item m="1" x="1633"/>
        <item m="1" x="2581"/>
        <item m="1" x="1662"/>
        <item m="1" x="1853"/>
        <item m="1" x="537"/>
        <item m="1" x="3520"/>
        <item m="1" x="2670"/>
        <item m="1" x="2476"/>
        <item m="1" x="4168"/>
        <item m="1" x="471"/>
        <item m="1" x="370"/>
        <item m="1" x="3133"/>
        <item m="1" x="3181"/>
        <item m="1" x="4141"/>
        <item m="1" x="561"/>
        <item m="1" x="256"/>
        <item m="1" x="148"/>
        <item m="1" x="2671"/>
        <item m="1" x="2740"/>
        <item m="1" x="460"/>
        <item m="1" x="3707"/>
        <item m="1" x="1749"/>
        <item m="1" x="3400"/>
        <item m="1" x="3637"/>
        <item m="1" x="1394"/>
        <item m="1" x="3851"/>
        <item m="1" x="2747"/>
        <item m="1" x="2754"/>
        <item m="1" x="2997"/>
        <item m="1" x="3395"/>
        <item m="1" x="4029"/>
        <item m="1" x="2187"/>
        <item m="1" x="2205"/>
        <item m="1" x="4100"/>
        <item m="1" x="2640"/>
        <item m="1" x="2895"/>
        <item m="1" x="4199"/>
        <item m="1" x="3247"/>
        <item m="1" x="3633"/>
        <item m="1" x="2508"/>
        <item m="1" x="1666"/>
        <item m="1" x="1923"/>
        <item m="1" x="3193"/>
        <item m="1" x="4008"/>
        <item m="1" x="3187"/>
        <item m="1" x="1848"/>
        <item m="1" x="2632"/>
        <item m="1" x="398"/>
        <item m="1" x="3879"/>
        <item m="1" x="1363"/>
        <item m="1" x="2159"/>
        <item m="1" x="1156"/>
        <item m="1" x="432"/>
        <item m="1" x="2331"/>
        <item m="1" x="3835"/>
        <item m="1" x="731"/>
        <item m="1" x="3860"/>
        <item m="1" x="3083"/>
        <item m="1" x="2556"/>
        <item m="1" x="2135"/>
        <item m="1" x="352"/>
        <item m="1" x="2221"/>
        <item m="1" x="453"/>
        <item m="1" x="1814"/>
        <item m="1" x="349"/>
        <item m="1" x="1425"/>
        <item m="1" x="3416"/>
        <item m="1" x="3917"/>
        <item m="1" x="1445"/>
        <item m="1" x="3403"/>
        <item m="1" x="867"/>
        <item m="1" x="1504"/>
        <item m="1" x="1741"/>
        <item m="1" x="1707"/>
        <item m="1" x="3968"/>
        <item m="1" x="152"/>
        <item m="1" x="390"/>
        <item m="1" x="2263"/>
        <item m="1" x="2835"/>
        <item m="1" x="3209"/>
        <item m="1" x="4043"/>
        <item m="1" x="469"/>
        <item m="1" x="1815"/>
        <item m="1" x="1622"/>
        <item m="1" x="2871"/>
        <item m="1" x="3561"/>
        <item m="1" x="4150"/>
        <item m="1" x="1171"/>
        <item m="1" x="863"/>
        <item m="1" x="3218"/>
        <item m="1" x="313"/>
        <item m="1" x="3437"/>
        <item m="1" x="912"/>
        <item m="1" x="2557"/>
        <item m="1" x="1108"/>
        <item m="1" x="1346"/>
        <item m="1" x="1768"/>
        <item m="1" x="1822"/>
        <item m="1" x="2211"/>
        <item m="1" x="174"/>
        <item m="1" x="1945"/>
        <item m="1" x="2181"/>
        <item m="1" x="86"/>
        <item m="1" x="893"/>
        <item m="1" x="131"/>
        <item m="1" x="2750"/>
        <item m="1" x="558"/>
        <item m="1" x="1639"/>
        <item m="1" x="1522"/>
        <item m="1" x="2657"/>
        <item m="1" x="3415"/>
        <item m="1" x="2203"/>
        <item m="1" x="2641"/>
        <item m="1" x="3450"/>
        <item m="1" x="735"/>
        <item m="1" x="1007"/>
        <item m="1" x="689"/>
        <item m="1" x="520"/>
        <item m="1" x="3598"/>
        <item m="1" x="2875"/>
        <item m="1" x="4282"/>
        <item m="1" x="3015"/>
        <item m="1" x="1176"/>
        <item m="1" x="1800"/>
        <item m="1" x="632"/>
        <item m="1" x="1700"/>
        <item m="1" x="1717"/>
        <item m="1" x="649"/>
        <item m="1" x="2109"/>
        <item m="1" x="1979"/>
        <item m="1" x="1118"/>
        <item m="1" x="2094"/>
        <item m="1" x="3792"/>
        <item m="1" x="485"/>
        <item m="1" x="3609"/>
        <item m="1" x="493"/>
        <item m="1" x="3883"/>
        <item m="1" x="3725"/>
        <item m="1" x="1724"/>
        <item m="1" x="628"/>
        <item m="1" x="2899"/>
        <item m="1" x="127"/>
        <item m="1" x="3926"/>
        <item m="1" x="3811"/>
        <item m="1" x="59"/>
        <item m="1" x="1236"/>
        <item m="1" x="3235"/>
        <item m="1" x="590"/>
        <item m="1" x="2239"/>
        <item m="1" x="132"/>
        <item m="1" x="452"/>
        <item m="1" x="3711"/>
        <item m="1" x="4011"/>
        <item m="1" x="3033"/>
        <item m="1" x="1334"/>
        <item m="1" x="2192"/>
        <item m="1" x="4312"/>
        <item m="1" x="237"/>
        <item m="1" x="3584"/>
        <item m="1" x="3115"/>
        <item m="1" x="2054"/>
        <item m="1" x="1244"/>
        <item m="1" x="505"/>
        <item m="1" x="744"/>
        <item m="1" x="1962"/>
        <item m="1" x="958"/>
        <item m="1" x="4309"/>
        <item m="1" x="3552"/>
        <item m="1" x="404"/>
        <item m="1" x="2199"/>
        <item m="1" x="796"/>
        <item m="1" x="2778"/>
        <item m="1" x="2712"/>
        <item m="1" x="2288"/>
        <item m="1" x="1129"/>
        <item m="1" x="695"/>
        <item m="1" x="563"/>
        <item m="1" x="3963"/>
        <item m="1" x="2870"/>
        <item m="1" x="1056"/>
        <item m="1" x="102"/>
        <item m="1" x="1535"/>
        <item m="1" x="1905"/>
        <item m="1" x="3714"/>
        <item m="1" x="177"/>
        <item m="1" x="303"/>
        <item m="1" x="3575"/>
        <item m="1" x="3051"/>
        <item m="1" x="1141"/>
        <item m="1" x="3580"/>
        <item m="1" x="1271"/>
        <item m="1" x="1382"/>
        <item m="1" x="2933"/>
        <item m="1" x="544"/>
        <item m="1" x="243"/>
        <item m="1" x="1917"/>
        <item m="1" x="2610"/>
        <item m="1" x="4264"/>
        <item m="1" x="3104"/>
        <item m="1" x="2467"/>
        <item m="1" x="851"/>
        <item m="1" x="1993"/>
        <item m="1" x="3077"/>
        <item m="1" x="3857"/>
        <item m="1" x="3074"/>
        <item m="1" x="523"/>
        <item m="1" x="1268"/>
        <item m="1" x="1466"/>
        <item m="1" x="247"/>
        <item m="1" x="73"/>
        <item m="1" x="112"/>
        <item m="1" x="2543"/>
        <item m="1" x="3751"/>
        <item m="1" x="1606"/>
        <item m="1" x="703"/>
        <item m="1" x="3157"/>
        <item m="1" x="768"/>
        <item m="1" x="654"/>
        <item m="1" x="143"/>
        <item m="1" x="1418"/>
        <item m="1" x="4071"/>
        <item m="1" x="2753"/>
        <item m="1" x="3132"/>
        <item m="1" x="3204"/>
        <item m="1" x="420"/>
        <item m="1" x="1291"/>
        <item m="1" x="422"/>
        <item m="1" x="1735"/>
        <item m="1" x="1082"/>
        <item m="1" x="3508"/>
        <item m="1" x="1797"/>
        <item m="1" x="1352"/>
        <item m="1" x="1009"/>
        <item m="1" x="3571"/>
        <item m="1" x="616"/>
        <item m="1" x="2939"/>
        <item m="1" x="2694"/>
        <item m="1" x="286"/>
        <item m="1" x="2614"/>
        <item m="1" x="3333"/>
        <item m="1" x="2599"/>
        <item m="1" x="3845"/>
        <item m="1" x="28"/>
        <item m="1" x="2937"/>
        <item m="1" x="1614"/>
        <item m="1" x="4120"/>
        <item m="1" x="966"/>
        <item m="1" x="3518"/>
        <item m="1" x="337"/>
        <item m="1" x="330"/>
        <item m="1" x="1502"/>
        <item m="1" x="2089"/>
        <item m="1" x="757"/>
        <item m="1" x="413"/>
        <item m="1" x="3957"/>
        <item m="1" x="137"/>
        <item m="1" x="1470"/>
        <item m="1" x="1513"/>
        <item m="1" x="2986"/>
        <item m="1" x="4112"/>
        <item m="1" x="1547"/>
        <item m="1" x="1776"/>
        <item m="1" x="4086"/>
        <item m="1" x="3055"/>
        <item m="1" x="4107"/>
        <item m="1" x="866"/>
        <item m="1" x="734"/>
        <item m="1" x="686"/>
        <item m="1" x="3484"/>
        <item m="1" x="1663"/>
        <item m="1" x="1994"/>
        <item m="1" x="2663"/>
        <item m="1" x="3554"/>
        <item m="1" x="3465"/>
        <item m="1" x="3777"/>
        <item m="1" x="747"/>
        <item m="1" x="740"/>
        <item m="1" x="1809"/>
        <item m="1" x="1618"/>
        <item m="1" x="2344"/>
        <item m="1" x="3910"/>
        <item m="1" x="4198"/>
        <item m="1" x="1083"/>
        <item m="1" x="739"/>
        <item m="1" x="74"/>
        <item m="1" x="1201"/>
        <item m="1" x="1119"/>
        <item m="1" x="1326"/>
        <item m="1" x="2385"/>
        <item m="1" x="3962"/>
        <item m="1" x="2691"/>
        <item m="1" x="2511"/>
        <item m="1" x="786"/>
        <item m="1" x="1209"/>
        <item m="1" x="3160"/>
        <item m="1" x="4061"/>
        <item m="1" x="3441"/>
        <item m="1" x="2918"/>
        <item m="1" x="3887"/>
        <item m="1" x="1354"/>
        <item m="1" x="2891"/>
        <item m="1" x="2009"/>
        <item m="1" x="2911"/>
        <item m="1" x="1249"/>
        <item m="1" x="3842"/>
        <item m="1" x="1605"/>
        <item m="1" x="3815"/>
        <item m="1" x="1765"/>
        <item m="1" x="3713"/>
        <item m="1" x="4117"/>
        <item m="1" x="2693"/>
        <item m="1" x="3027"/>
        <item m="1" x="771"/>
        <item m="1" x="834"/>
        <item m="1" x="494"/>
        <item m="1" x="3973"/>
        <item m="1" x="3913"/>
        <item m="1" x="1973"/>
        <item m="1" x="15"/>
        <item m="1" x="2227"/>
        <item m="1" x="1843"/>
        <item m="1" x="151"/>
        <item m="1" x="2096"/>
        <item m="1" x="242"/>
        <item m="1" x="2925"/>
        <item m="1" x="3006"/>
        <item m="1" x="2114"/>
        <item m="1" x="899"/>
        <item m="1" x="540"/>
        <item m="1" x="639"/>
        <item m="1" x="858"/>
        <item m="1" x="3523"/>
        <item m="1" x="3007"/>
        <item m="1" x="1281"/>
        <item m="1" x="2888"/>
        <item m="1" x="3653"/>
        <item m="1" x="4184"/>
        <item m="1" x="4305"/>
        <item m="1" x="1094"/>
        <item m="1" x="755"/>
        <item m="1" x="3903"/>
        <item m="1" x="1885"/>
        <item m="1" x="3383"/>
        <item m="1" x="915"/>
        <item m="1" x="2162"/>
        <item m="1" x="1771"/>
        <item m="1" x="1347"/>
        <item m="1" x="4291"/>
        <item m="1" x="587"/>
        <item m="1" x="2412"/>
        <item m="1" x="1932"/>
        <item m="1" x="3676"/>
        <item m="1" x="1989"/>
        <item m="1" x="2293"/>
        <item m="1" x="1781"/>
        <item m="1" x="2189"/>
        <item m="1" x="2727"/>
        <item m="1" x="2729"/>
        <item m="1" x="3291"/>
        <item m="1" x="2403"/>
        <item m="1" x="1615"/>
        <item m="1" x="2377"/>
        <item m="1" x="2198"/>
        <item m="1" x="178"/>
        <item m="1" x="1836"/>
        <item m="1" x="1719"/>
        <item m="1" x="2946"/>
        <item m="1" x="3723"/>
        <item m="1" x="164"/>
        <item m="1" x="239"/>
        <item m="1" x="1029"/>
        <item m="1" x="3412"/>
        <item m="1" x="1096"/>
        <item m="1" x="1150"/>
        <item m="1" x="2391"/>
        <item m="1" x="802"/>
        <item m="1" x="2928"/>
        <item m="1" x="3299"/>
        <item m="1" x="3503"/>
        <item m="1" x="1722"/>
        <item m="1" x="859"/>
        <item m="1" x="4208"/>
        <item m="1" x="4018"/>
        <item m="1" x="3611"/>
        <item m="1" x="2359"/>
        <item m="1" x="369"/>
        <item m="1" x="353"/>
        <item m="1" x="292"/>
        <item m="1" x="1604"/>
        <item m="1" x="1880"/>
        <item m="1" x="1913"/>
        <item m="1" x="4122"/>
        <item m="1" x="3787"/>
        <item m="1" x="665"/>
        <item m="1" x="1634"/>
        <item m="1" x="896"/>
        <item m="1" x="2876"/>
        <item m="1" x="2039"/>
        <item m="1" x="2794"/>
        <item m="1" x="496"/>
        <item m="1" x="4131"/>
        <item m="1" x="760"/>
        <item m="1" x="1477"/>
        <item m="1" x="3332"/>
        <item m="1" x="1778"/>
        <item m="1" x="3810"/>
        <item m="1" x="1239"/>
        <item m="1" x="4216"/>
        <item m="1" x="4023"/>
        <item m="1" x="949"/>
        <item m="1" x="72"/>
        <item m="1" x="3535"/>
        <item m="1" x="2405"/>
        <item m="1" x="230"/>
        <item m="1" x="3359"/>
        <item m="1" x="3946"/>
        <item m="1" x="3877"/>
        <item m="1" x="3399"/>
        <item m="1" x="1168"/>
        <item m="1" x="309"/>
        <item m="1" x="950"/>
        <item m="1" x="3296"/>
        <item m="1" x="3044"/>
        <item m="1" x="2690"/>
        <item m="1" x="1508"/>
        <item m="1" x="1166"/>
        <item m="1" x="4283"/>
        <item m="1" x="682"/>
        <item m="1" x="716"/>
        <item m="1" x="277"/>
        <item m="1" x="92"/>
        <item m="1" x="2390"/>
        <item m="1" x="1410"/>
        <item m="1" x="3688"/>
        <item m="1" x="839"/>
        <item m="1" x="3569"/>
        <item m="1" x="3253"/>
        <item m="1" x="2808"/>
        <item m="1" x="4230"/>
        <item m="1" x="907"/>
        <item m="1" x="1742"/>
        <item m="1" x="2142"/>
        <item m="1" x="1446"/>
        <item m="1" x="2231"/>
        <item m="1" x="4250"/>
        <item m="1" x="1702"/>
        <item m="1" x="2741"/>
        <item m="1" x="26"/>
        <item m="1" x="344"/>
        <item m="1" x="733"/>
        <item m="1" x="3543"/>
        <item m="1" x="1874"/>
        <item m="1" x="1968"/>
        <item m="1" x="1503"/>
        <item m="1" x="1561"/>
        <item m="1" x="571"/>
        <item m="1" x="4210"/>
        <item m="1" x="1221"/>
        <item m="1" x="1909"/>
        <item m="1" x="2589"/>
        <item m="1" x="2952"/>
        <item m="1" x="2837"/>
        <item m="1" x="3238"/>
        <item m="1" x="3550"/>
        <item m="1" x="2998"/>
        <item m="1" x="2031"/>
        <item m="1" x="3969"/>
        <item m="1" x="274"/>
        <item m="1" x="2542"/>
        <item m="1" x="211"/>
        <item m="1" x="1335"/>
        <item m="1" x="975"/>
        <item m="1" x="1255"/>
        <item m="1" x="1761"/>
        <item m="1" x="3743"/>
        <item m="1" x="2049"/>
        <item m="1" x="4098"/>
        <item m="1" x="2353"/>
        <item m="1" x="3486"/>
        <item m="1" x="2929"/>
        <item m="1" x="675"/>
        <item m="1" x="3594"/>
        <item m="1" x="2283"/>
        <item m="1" x="743"/>
        <item m="1" x="2191"/>
        <item m="1" x="1250"/>
        <item m="1" x="3126"/>
        <item m="1" x="3915"/>
        <item m="1" x="533"/>
        <item m="1" x="1816"/>
        <item m="1" x="1498"/>
        <item m="1" x="3832"/>
        <item m="1" x="3285"/>
        <item m="1" x="620"/>
        <item m="1" x="1856"/>
        <item m="1" x="3248"/>
        <item m="1" x="3942"/>
        <item m="1" x="2572"/>
        <item m="1" x="3715"/>
        <item m="1" x="534"/>
        <item m="1" x="3479"/>
        <item m="1" x="1940"/>
        <item m="1" x="4091"/>
        <item m="1" x="3371"/>
        <item m="1" x="244"/>
        <item m="1" x="608"/>
        <item m="1" x="3201"/>
        <item m="1" x="957"/>
        <item m="1" x="1233"/>
        <item m="1" x="629"/>
        <item m="1" x="4033"/>
        <item m="1" x="2417"/>
        <item m="1" x="660"/>
        <item m="1" x="2948"/>
        <item m="1" x="3673"/>
        <item m="1" x="1897"/>
        <item m="1" x="2733"/>
        <item m="1" x="2907"/>
        <item m="1" x="490"/>
        <item m="1" x="917"/>
        <item m="1" x="3852"/>
        <item m="1" x="2763"/>
        <item m="1" x="2857"/>
        <item m="1" x="1458"/>
        <item m="1" x="1149"/>
        <item m="1" x="4270"/>
        <item m="1" x="2378"/>
        <item m="1" x="3001"/>
        <item m="1" x="1417"/>
        <item m="1" x="4140"/>
        <item m="1" x="3924"/>
        <item m="1" x="487"/>
        <item m="1" x="2550"/>
        <item m="1" x="546"/>
        <item m="1" x="3072"/>
        <item m="1" x="4104"/>
        <item m="1" x="1260"/>
        <item m="1" x="222"/>
        <item m="1" x="1124"/>
        <item m="1" x="2400"/>
        <item m="1" x="935"/>
        <item m="1" x="2453"/>
        <item m="1" x="458"/>
        <item m="1" x="1217"/>
        <item m="1" x="793"/>
        <item m="1" x="585"/>
        <item m="1" x="581"/>
        <item m="1" x="2564"/>
        <item m="1" x="3649"/>
        <item m="1" x="4000"/>
        <item m="1" x="355"/>
        <item m="1" x="2402"/>
        <item m="1" x="1198"/>
        <item m="1" x="1130"/>
        <item m="1" x="3606"/>
        <item m="1" x="2966"/>
        <item m="1" x="900"/>
        <item m="1" x="4016"/>
        <item m="1" x="1506"/>
        <item m="1" x="2298"/>
        <item m="1" x="1213"/>
        <item m="1" x="4231"/>
        <item m="1" x="1681"/>
        <item m="1" x="3726"/>
        <item m="1" x="3604"/>
        <item m="1" x="2406"/>
        <item m="1" x="1136"/>
        <item m="1" x="1701"/>
        <item m="1" x="4050"/>
        <item m="1" x="2099"/>
        <item m="1" x="1371"/>
        <item m="1" x="4080"/>
        <item m="1" x="221"/>
        <item m="1" x="1730"/>
        <item m="1" x="3799"/>
        <item m="1" x="988"/>
        <item m="1" x="1922"/>
        <item m="1" x="69"/>
        <item m="1" x="3717"/>
        <item m="1" x="1185"/>
        <item m="1" x="1462"/>
        <item m="1" x="1798"/>
        <item m="1" x="3733"/>
        <item m="1" x="3599"/>
        <item m="1" x="1360"/>
        <item m="1" x="2477"/>
        <item m="1" x="4060"/>
        <item m="1" x="2724"/>
        <item m="1" x="3288"/>
        <item m="1" x="1264"/>
        <item m="1" x="2530"/>
        <item m="1" x="2062"/>
        <item m="1" x="677"/>
        <item m="1" x="426"/>
        <item m="1" x="933"/>
        <item m="1" x="4003"/>
        <item m="1" x="2008"/>
        <item m="1" x="2177"/>
        <item m="1" x="1287"/>
        <item m="1" x="4070"/>
        <item m="1" x="1476"/>
        <item m="1" x="3666"/>
        <item m="1" x="3366"/>
        <item m="1" x="2512"/>
        <item m="1" x="3784"/>
        <item m="1" x="1162"/>
        <item m="1" x="470"/>
        <item m="1" x="12"/>
        <item m="1" x="2805"/>
        <item m="1" x="2737"/>
        <item m="1" x="3521"/>
        <item m="1" x="2942"/>
        <item m="1" x="3747"/>
        <item m="1" x="3985"/>
        <item m="1" x="3491"/>
        <item m="1" x="1673"/>
        <item m="1" x="2594"/>
        <item m="1" x="4153"/>
        <item m="1" x="129"/>
        <item m="1" x="602"/>
        <item m="1" x="3703"/>
        <item m="1" x="2416"/>
        <item m="1" x="2319"/>
        <item m="1" x="2437"/>
        <item m="1" x="3414"/>
        <item m="1" x="725"/>
        <item m="1" x="1899"/>
        <item m="1" x="217"/>
        <item m="1" x="3426"/>
        <item m="1" x="4251"/>
        <item m="1" x="3546"/>
        <item m="1" x="3156"/>
        <item m="1" x="3846"/>
        <item m="1" x="4307"/>
        <item m="1" x="2817"/>
        <item m="1" x="3337"/>
        <item m="1" x="2886"/>
        <item m="1" x="1431"/>
        <item m="1" x="2285"/>
        <item m="1" x="1840"/>
        <item m="1" x="1400"/>
        <item m="1" x="3378"/>
        <item m="1" x="85"/>
        <item m="1" x="3381"/>
        <item m="1" x="1591"/>
        <item m="1" x="1967"/>
        <item m="1" x="4121"/>
        <item m="1" x="3127"/>
        <item m="1" x="875"/>
        <item m="1" x="4054"/>
        <item m="1" x="1000"/>
        <item m="1" x="1154"/>
        <item m="1" x="3411"/>
        <item m="1" x="3473"/>
        <item m="1" x="2161"/>
        <item m="1" x="3867"/>
        <item m="1" x="2555"/>
        <item m="1" x="53"/>
        <item m="1" x="3216"/>
        <item m="1" x="3048"/>
        <item m="1" x="3862"/>
        <item m="1" x="3043"/>
        <item m="1" x="1020"/>
        <item m="1" x="406"/>
        <item m="1" x="3343"/>
        <item m="1" x="827"/>
        <item m="1" x="168"/>
        <item m="1" x="2940"/>
        <item m="1" x="2375"/>
        <item m="1" x="637"/>
        <item m="1" x="2053"/>
        <item m="1" x="87"/>
        <item m="1" x="2627"/>
        <item m="1" x="589"/>
        <item m="1" x="3161"/>
        <item m="1" x="2425"/>
        <item m="1" x="3154"/>
        <item m="1" x="4027"/>
        <item m="1" x="4314"/>
        <item m="1" x="3202"/>
        <item m="1" x="4255"/>
        <item m="1" x="3886"/>
        <item m="1" x="3593"/>
        <item m="1" x="1391"/>
        <item m="1" x="2580"/>
        <item m="1" x="1674"/>
        <item m="1" x="720"/>
        <item m="1" x="190"/>
        <item m="1" x="3522"/>
        <item m="1" x="920"/>
        <item m="1" x="848"/>
        <item m="1" x="33"/>
        <item m="1" x="583"/>
        <item m="1" x="3885"/>
        <item m="1" x="2411"/>
        <item m="1" x="1460"/>
        <item m="1" x="3134"/>
        <item m="1" x="2389"/>
        <item m="1" x="902"/>
        <item m="1" x="3659"/>
        <item m="1" x="3226"/>
        <item m="1" x="38"/>
        <item m="1" x="1415"/>
        <item m="1" x="2454"/>
        <item m="1" x="1190"/>
        <item m="1" x="4232"/>
        <item m="1" x="1468"/>
        <item m="1" x="582"/>
        <item m="1" x="938"/>
        <item m="1" x="4096"/>
        <item m="1" x="2685"/>
        <item m="1" x="853"/>
        <item m="1" x="3756"/>
        <item m="1" x="2023"/>
        <item m="1" x="1057"/>
        <item m="1" x="4295"/>
        <item m="1" x="921"/>
        <item m="1" x="2965"/>
        <item m="1" x="64"/>
        <item m="1" x="3429"/>
        <item m="1" x="964"/>
        <item m="1" x="2571"/>
        <item m="1" x="52"/>
        <item m="1" x="360"/>
        <item m="1" x="576"/>
        <item m="1" x="1050"/>
        <item m="1" x="224"/>
        <item m="1" x="3626"/>
        <item m="1" x="810"/>
        <item m="1" x="4311"/>
        <item m="1" x="2296"/>
        <item m="1" x="2084"/>
        <item m="1" x="3233"/>
        <item m="1" x="3542"/>
        <item m="1" x="2551"/>
        <item m="1" x="641"/>
        <item m="1" x="3256"/>
        <item m="1" x="1599"/>
        <item m="1" x="2715"/>
        <item m="1" x="3107"/>
        <item m="1" x="175"/>
        <item m="1" x="1377"/>
        <item m="1" x="829"/>
        <item m="1" x="2695"/>
        <item m="1" x="2460"/>
        <item m="1" x="423"/>
        <item m="1" x="901"/>
        <item m="1" x="3042"/>
        <item m="1" x="319"/>
        <item m="1" x="204"/>
        <item m="1" x="3900"/>
        <item m="1" x="820"/>
        <item m="1" x="46"/>
        <item m="1" x="1505"/>
        <item m="1" x="4026"/>
        <item m="1" x="187"/>
        <item m="1" x="3351"/>
        <item m="1" x="2603"/>
        <item m="1" x="3525"/>
        <item m="1" x="2760"/>
        <item m="1" x="1191"/>
        <item m="1" x="3849"/>
        <item m="1" x="2832"/>
        <item m="1" x="1823"/>
        <item m="1" x="1594"/>
        <item m="1" x="3945"/>
        <item m="1" x="819"/>
        <item m="1" x="34"/>
        <item m="1" x="4193"/>
        <item m="1" x="927"/>
        <item m="1" x="2214"/>
        <item m="1" x="157"/>
        <item m="1" x="1549"/>
        <item m="1" x="765"/>
        <item m="1" x="3158"/>
        <item m="1" x="1539"/>
        <item m="1" x="1105"/>
        <item m="1" x="1127"/>
        <item m="1" x="2659"/>
        <item m="1" x="2850"/>
        <item m="1" x="3120"/>
        <item m="1" x="402"/>
        <item m="1" x="2569"/>
        <item m="1" x="998"/>
        <item m="1" x="3627"/>
        <item m="1" x="1088"/>
        <item m="1" x="1038"/>
        <item m="1" x="3328"/>
        <item m="1" x="4130"/>
        <item m="1" x="3778"/>
        <item m="1" x="712"/>
        <item m="1" x="536"/>
        <item m="1" x="3178"/>
        <item m="1" x="681"/>
        <item m="1" x="1754"/>
        <item m="1" x="2522"/>
        <item m="1" x="3574"/>
        <item m="1" x="1075"/>
        <item m="1" x="2420"/>
        <item m="1" x="584"/>
        <item m="1" x="2328"/>
        <item m="1" x="539"/>
        <item m="1" x="2872"/>
        <item m="1" x="1852"/>
        <item m="1" x="684"/>
        <item m="1" x="513"/>
        <item m="1" x="2776"/>
        <item m="1" x="1298"/>
        <item m="1" x="1202"/>
        <item m="1" x="1496"/>
        <item m="1" x="3822"/>
        <item m="1" x="1025"/>
        <item m="1" x="3947"/>
        <item m="1" x="3030"/>
        <item m="1" x="1232"/>
        <item m="1" x="350"/>
        <item m="1" x="3263"/>
        <item m="1" x="1205"/>
        <item m="1" x="2383"/>
        <item m="1" x="2010"/>
        <item m="1" x="2277"/>
        <item m="1" x="4245"/>
        <item m="1" x="56"/>
        <item m="1" x="688"/>
        <item m="1" x="1894"/>
        <item m="1" x="1891"/>
        <item m="1" x="103"/>
        <item m="1" x="3922"/>
        <item m="1" x="4090"/>
        <item m="1" x="2785"/>
        <item m="1" x="750"/>
        <item m="1" x="732"/>
        <item m="1" x="3085"/>
        <item m="1" x="617"/>
        <item m="1" x="753"/>
        <item m="1" x="1791"/>
        <item m="1" x="2863"/>
        <item m="1" x="3452"/>
        <item m="1" x="570"/>
        <item m="1" x="1282"/>
        <item m="1" x="1353"/>
        <item m="1" x="438"/>
        <item m="1" x="2311"/>
        <item m="1" x="3002"/>
        <item m="1" x="3746"/>
        <item m="1" x="3672"/>
        <item m="1" x="2506"/>
        <item m="1" x="659"/>
        <item m="1" x="1068"/>
        <item m="1" x="3330"/>
        <item m="1" x="2810"/>
        <item m="1" x="3650"/>
        <item m="1" x="2818"/>
        <item m="1" x="2873"/>
        <item m="1" x="1333"/>
        <item m="1" x="1557"/>
        <item m="1" x="2622"/>
        <item m="1" x="1092"/>
        <item m="1" x="3930"/>
        <item m="1" x="419"/>
        <item m="1" x="1716"/>
        <item m="1" x="1015"/>
        <item m="1" x="800"/>
        <item m="1" x="2438"/>
        <item m="1" x="1613"/>
        <item m="1" x="4234"/>
        <item m="1" x="4020"/>
        <item m="1" x="1012"/>
        <item m="1" x="265"/>
        <item m="1" x="2532"/>
        <item m="1" x="2137"/>
        <item m="1" x="1775"/>
        <item m="1" x="3739"/>
        <item m="1" x="504"/>
        <item m="1" x="1093"/>
        <item m="1" x="1023"/>
        <item m="1" x="1952"/>
        <item m="1" x="3931"/>
        <item m="1" x="1033"/>
        <item m="1" x="1955"/>
        <item m="1" x="2443"/>
        <item m="1" x="1013"/>
        <item m="1" x="3679"/>
        <item m="1" x="671"/>
        <item m="1" x="3210"/>
        <item m="1" x="1507"/>
        <item m="1" x="1540"/>
        <item m="1" x="1654"/>
        <item m="1" x="476"/>
        <item m="1" x="1126"/>
        <item m="1" x="259"/>
        <item m="1" x="2081"/>
        <item m="1" x="1829"/>
        <item m="1" x="191"/>
        <item m="1" x="2004"/>
        <item m="1" x="1385"/>
        <item m="1" x="1138"/>
        <item m="1" x="3037"/>
        <item m="1" x="953"/>
        <item m="1" x="3896"/>
        <item m="1" x="3355"/>
        <item m="1" x="1560"/>
        <item m="1" x="2766"/>
        <item m="1" x="2304"/>
        <item m="1" x="2822"/>
        <item m="1" x="2172"/>
        <item m="1" x="3376"/>
        <item m="1" x="170"/>
        <item m="1" x="2339"/>
        <item m="1" x="1128"/>
        <item m="1" x="1589"/>
        <item m="1" x="2237"/>
        <item m="1" x="2723"/>
        <item m="1" x="3455"/>
        <item m="1" x="2316"/>
        <item m="1" x="1372"/>
        <item m="1" x="1285"/>
        <item m="1" x="870"/>
        <item m="1" x="1542"/>
        <item m="1" x="4228"/>
        <item m="1" x="248"/>
        <item m="1" x="171"/>
        <item m="1" x="4248"/>
        <item m="1" x="3039"/>
        <item m="1" x="736"/>
        <item m="1" x="794"/>
        <item m="1" x="1404"/>
        <item m="1" x="3309"/>
        <item m="1" x="1723"/>
        <item m="1" x="3342"/>
        <item m="1" x="3769"/>
        <item m="1" x="2272"/>
        <item m="1" x="2201"/>
        <item m="1" x="1712"/>
        <item m="1" x="3307"/>
        <item m="1" x="1602"/>
        <item m="1" x="1375"/>
        <item m="1" x="3773"/>
        <item m="1" x="3914"/>
        <item m="1" x="1265"/>
        <item m="1" x="1435"/>
        <item m="1" x="2169"/>
        <item m="1" x="1763"/>
        <item m="1" x="1362"/>
        <item m="1" x="3738"/>
        <item m="1" x="3190"/>
        <item m="1" x="2578"/>
        <item m="1" x="1616"/>
        <item m="1" x="2788"/>
        <item m="1" x="2533"/>
        <item m="1" x="2912"/>
        <item m="1" x="2609"/>
        <item m="1" x="1961"/>
        <item m="1" x="472"/>
        <item m="1" x="2562"/>
        <item m="1" x="1008"/>
        <item m="1" x="2348"/>
        <item m="1" x="3802"/>
        <item m="1" x="928"/>
        <item m="1" x="1413"/>
        <item m="1" x="904"/>
        <item m="1" x="1709"/>
        <item m="1" x="262"/>
        <item m="1" x="1361"/>
        <item m="1" x="2613"/>
        <item m="1" x="4095"/>
        <item m="1" x="3435"/>
        <item m="1" x="3789"/>
        <item m="1" x="1420"/>
        <item m="1" x="1866"/>
        <item m="1" x="3791"/>
        <item m="1" x="1556"/>
        <item m="1" x="407"/>
        <item m="1" x="479"/>
        <item m="1" x="2989"/>
        <item m="1" x="3939"/>
        <item m="1" x="4024"/>
        <item m="1" x="4040"/>
        <item m="1" x="1803"/>
        <item m="1" x="1572"/>
        <item m="1" x="282"/>
        <item m="1" x="3166"/>
        <item m="1" x="2022"/>
        <item m="1" x="4217"/>
        <item m="1" x="2269"/>
        <item m="1" x="2845"/>
        <item m="1" x="66"/>
        <item m="1" x="1076"/>
        <item m="1" x="3630"/>
        <item m="1" x="845"/>
        <item m="1" x="321"/>
        <item m="1" x="3529"/>
        <item m="1" x="260"/>
        <item m="1" x="3092"/>
        <item m="1" x="3497"/>
        <item m="1" x="2292"/>
        <item m="1" x="783"/>
        <item m="1" x="1774"/>
        <item m="1" x="982"/>
        <item m="1" x="3200"/>
        <item m="1" x="4046"/>
        <item m="1" x="2228"/>
        <item m="1" x="2112"/>
        <item m="1" x="3188"/>
        <item m="1" x="1861"/>
        <item m="1" x="2270"/>
        <item m="1" x="483"/>
        <item m="1" x="2921"/>
        <item m="1" x="4019"/>
        <item m="1" x="457"/>
        <item m="1" x="1770"/>
        <item m="1" x="1714"/>
        <item m="1" x="2958"/>
        <item m="1" x="2943"/>
        <item m="1" x="1933"/>
        <item m="1" x="3527"/>
        <item m="1" x="658"/>
        <item m="1" x="2993"/>
        <item m="1" x="3320"/>
        <item m="1" x="3539"/>
        <item m="1" x="3305"/>
        <item m="1" x="3617"/>
        <item m="1" x="3053"/>
        <item m="1" x="323"/>
        <item m="1" x="126"/>
        <item m="1" x="2967"/>
        <item m="1" x="3586"/>
        <item m="1" x="2840"/>
        <item m="1" x="3152"/>
        <item m="1" x="220"/>
        <item m="1" x="1997"/>
        <item m="1" x="1408"/>
        <item m="1" x="3540"/>
        <item m="1" x="2823"/>
        <item m="1" x="940"/>
        <item m="1" x="3295"/>
        <item m="1" x="1085"/>
        <item m="1" x="2661"/>
        <item m="1" x="4163"/>
        <item m="1" x="179"/>
        <item m="1" x="2219"/>
        <item m="1" x="312"/>
        <item m="1" x="3367"/>
        <item m="1" x="1948"/>
        <item m="1" x="3259"/>
        <item m="1" x="1078"/>
        <item m="1" x="1736"/>
        <item m="1" x="594"/>
        <item m="1" x="1703"/>
        <item m="1" x="3129"/>
        <item m="1" x="2136"/>
        <item m="1" x="3350"/>
        <item m="1" x="4172"/>
        <item m="1" x="2345"/>
        <item m="1" x="1901"/>
        <item m="1" x="182"/>
        <item m="1" x="3108"/>
        <item m="1" x="1942"/>
        <item m="1" x="84"/>
        <item m="1" x="2207"/>
        <item m="1" x="2680"/>
        <item m="1" x="258"/>
        <item m="1" x="4302"/>
        <item m="1" x="2787"/>
        <item m="1" x="2656"/>
        <item m="1" x="3874"/>
        <item m="1" x="2745"/>
        <item m="1" x="785"/>
        <item m="1" x="4196"/>
        <item m="1" x="1592"/>
        <item m="1" x="3701"/>
        <item m="1" x="293"/>
        <item m="1" x="3776"/>
        <item m="1" x="2566"/>
        <item m="1" x="4247"/>
        <item m="1" x="1811"/>
        <item m="1" x="226"/>
        <item m="1" x="1174"/>
        <item m="1" x="2919"/>
        <item m="1" x="888"/>
        <item m="1" x="2502"/>
        <item m="1" x="3607"/>
        <item m="1" x="2625"/>
        <item m="1" x="1379"/>
        <item m="1" x="209"/>
        <item m="1" x="160"/>
        <item m="1" x="2983"/>
        <item m="1" x="1692"/>
        <item m="1" x="2111"/>
        <item m="1" x="2647"/>
        <item m="1" x="197"/>
        <item m="1" x="1963"/>
        <item m="1" x="913"/>
        <item m="1" x="3866"/>
        <item m="1" x="799"/>
        <item m="1" x="3825"/>
        <item m="1" x="4313"/>
        <item m="1" x="2905"/>
        <item m="1" x="4266"/>
        <item m="1" x="3003"/>
        <item m="1" x="3262"/>
        <item m="1" x="440"/>
        <item m="1" x="4035"/>
        <item m="1" x="871"/>
        <item m="1" x="4202"/>
        <item m="1" x="1658"/>
        <item m="1" x="3547"/>
        <item m="1" x="327"/>
        <item m="1" x="401"/>
        <item m="1" x="1429"/>
        <item m="1" x="792"/>
        <item m="1" x="1189"/>
        <item m="1" x="2185"/>
        <item m="1" x="3020"/>
        <item m="1" x="2433"/>
        <item m="1" x="1267"/>
        <item m="1" x="2116"/>
        <item m="1" x="2710"/>
        <item m="1" x="65"/>
        <item m="1" x="1559"/>
        <item m="1" x="3212"/>
        <item m="1" x="2006"/>
        <item m="1" x="3524"/>
        <item m="1" x="2276"/>
        <item m="1" x="2953"/>
        <item m="1" x="2150"/>
        <item m="1" x="1474"/>
        <item m="1" x="1407"/>
        <item m="1" x="305"/>
        <item m="1" x="575"/>
        <item m="1" x="2422"/>
        <item m="1" x="1479"/>
        <item m="1" x="1107"/>
        <item m="1" x="2708"/>
        <item m="1" x="2600"/>
        <item m="1" x="1123"/>
        <item m="1" x="233"/>
        <item m="1" x="167"/>
        <item m="1" x="1661"/>
        <item m="1" x="61"/>
        <item m="1" x="3198"/>
        <item m="1" x="3459"/>
        <item m="1" x="1743"/>
        <item m="1" x="4265"/>
        <item m="1" x="2025"/>
        <item m="1" x="3820"/>
        <item m="1" x="3069"/>
        <item m="1" x="2841"/>
        <item m="1" x="2874"/>
        <item m="1" x="3544"/>
        <item m="1" x="2950"/>
        <item m="1" x="3830"/>
        <item m="1" x="4047"/>
        <item m="1" x="640"/>
        <item m="1" x="301"/>
        <item m="1" x="3517"/>
        <item m="1" x="285"/>
        <item m="1" x="3768"/>
        <item m="1" x="2128"/>
        <item m="1" x="2770"/>
        <item m="1" x="4274"/>
        <item m="1" x="3175"/>
        <item m="1" x="1358"/>
        <item m="1" x="615"/>
        <item m="1" x="3458"/>
        <item m="1" x="1718"/>
        <item m="1" x="465"/>
        <item m="1" x="2696"/>
        <item m="1" x="3952"/>
        <item m="1" x="996"/>
        <item m="1" x="2816"/>
        <item m="1" x="2981"/>
        <item m="1" x="2080"/>
        <item m="1" x="2087"/>
        <item m="1" x="699"/>
        <item m="1" x="2234"/>
        <item m="1" x="1593"/>
        <item m="1" x="3579"/>
        <item m="1" x="772"/>
        <item m="1" x="3526"/>
        <item m="1" x="3863"/>
        <item m="1" x="1689"/>
        <item m="1" x="1095"/>
        <item m="1" x="1289"/>
        <item m="1" x="4133"/>
        <item m="1" x="824"/>
        <item m="1" x="2734"/>
        <item m="1" x="40"/>
        <item m="1" x="3360"/>
        <item m="1" x="1649"/>
        <item m="1" x="2678"/>
        <item m="1" x="3205"/>
        <item m="1" x="2655"/>
        <item m="1" x="3149"/>
        <item m="1" x="2782"/>
        <item m="1" x="2233"/>
        <item m="1" x="4169"/>
        <item m="1" x="2456"/>
        <item m="1" x="1671"/>
        <item m="1" x="4281"/>
        <item m="1" x="1543"/>
        <item m="1" x="2358"/>
        <item m="1" x="3310"/>
        <item m="1" x="1175"/>
        <item m="1" x="213"/>
        <item m="1" x="1368"/>
        <item m="1" x="3327"/>
        <item m="1" x="3090"/>
        <item m="1" x="1669"/>
        <item m="1" x="644"/>
        <item m="1" x="1487"/>
        <item m="1" x="3325"/>
        <item m="1" x="2672"/>
        <item m="1" x="3028"/>
        <item m="1" x="3565"/>
        <item m="1" x="1187"/>
        <item m="1" x="801"/>
        <item m="1" x="2828"/>
        <item m="1" x="2697"/>
        <item m="1" x="3833"/>
        <item m="1" x="1014"/>
        <item m="1" x="3237"/>
        <item m="1" x="3876"/>
        <item m="1" x="2853"/>
        <item m="1" x="3967"/>
        <item m="1" x="436"/>
        <item m="1" x="510"/>
        <item m="1" x="3490"/>
        <item m="1" x="2524"/>
        <item m="1" x="4275"/>
        <item m="1" x="1247"/>
        <item m="1" x="3782"/>
        <item m="1" x="2786"/>
        <item m="1" x="2777"/>
        <item m="1" x="4152"/>
        <item m="1" x="3250"/>
        <item m="1" x="1104"/>
        <item m="1" x="3163"/>
        <item m="1" x="3117"/>
        <item m="1" x="4148"/>
        <item m="1" x="3136"/>
        <item m="1" x="67"/>
        <item m="1" x="1759"/>
        <item m="1" x="525"/>
        <item m="1" x="154"/>
        <item m="1" x="2885"/>
        <item m="1" x="219"/>
        <item m="1" x="1336"/>
        <item m="1" x="3103"/>
        <item m="1" x="3289"/>
        <item m="1" x="3244"/>
        <item m="1" x="4190"/>
        <item m="1" x="3167"/>
        <item m="1" x="3354"/>
        <item m="1" x="2371"/>
        <item m="1" x="2000"/>
        <item m="1" x="4286"/>
        <item m="1" x="789"/>
        <item m="1" x="400"/>
        <item m="1" x="329"/>
        <item m="1" x="2061"/>
        <item m="1" x="2646"/>
        <item m="1" x="31"/>
        <item m="1" x="2333"/>
        <item m="1" x="2261"/>
        <item m="1" x="3582"/>
        <item m="1" x="2784"/>
        <item m="1" x="3724"/>
        <item m="1" x="1631"/>
        <item m="1" x="1328"/>
        <item m="1" x="2355"/>
        <item m="1" x="3232"/>
        <item m="1" x="4310"/>
        <item m="1" x="4063"/>
        <item m="1" x="3173"/>
        <item m="1" x="3741"/>
        <item m="1" x="1715"/>
        <item m="1" x="2478"/>
        <item m="1" x="1426"/>
        <item m="1" x="2250"/>
        <item m="1" x="1204"/>
        <item m="1" x="1188"/>
        <item m="1" x="547"/>
        <item m="1" x="4021"/>
        <item m="1" x="2703"/>
        <item m="1" x="3614"/>
        <item m="1" x="238"/>
        <item m="1" x="2079"/>
        <item m="1" x="3928"/>
        <item m="1" x="1970"/>
        <item m="1" x="3413"/>
        <item m="1" x="2075"/>
        <item m="1" x="1655"/>
        <item m="1" x="29"/>
        <item m="1" x="1133"/>
        <item m="1" x="672"/>
        <item m="1" x="574"/>
        <item m="1" x="3278"/>
        <item m="1" x="2631"/>
        <item m="1" x="3625"/>
        <item m="1" x="3058"/>
        <item m="1" x="1381"/>
        <item m="1" x="1750"/>
        <item m="1" x="597"/>
        <item m="1" x="1611"/>
        <item m="1" x="2978"/>
        <item m="1" x="1501"/>
        <item m="1" x="345"/>
        <item m="1" x="2367"/>
        <item m="1" x="3801"/>
        <item m="1" x="3017"/>
        <item m="1" x="234"/>
        <item m="1" x="3254"/>
        <item m="1" x="2117"/>
        <item m="1" x="3816"/>
        <item m="1" x="3063"/>
        <item m="1" x="359"/>
        <item m="1" x="2158"/>
        <item m="1" x="1646"/>
        <item m="1" x="2230"/>
        <item m="1" x="3519"/>
        <item m="1" x="2779"/>
        <item m="1" x="3281"/>
        <item m="1" x="3016"/>
        <item m="1" x="2877"/>
        <item m="1" x="1820"/>
        <item m="1" x="3293"/>
        <item m="1" x="4156"/>
        <item m="1" x="3271"/>
        <item m="1" x="3808"/>
        <item m="1" x="2295"/>
        <item m="1" x="3974"/>
        <item m="1" x="2996"/>
        <item m="1" x="2751"/>
        <item m="1" x="122"/>
        <item m="1" x="3454"/>
        <item m="1" x="3372"/>
        <item m="1" x="44"/>
        <item m="1" x="3728"/>
        <item m="1" x="1839"/>
        <item m="1" x="1546"/>
        <item m="1" x="3941"/>
        <item m="1" x="2160"/>
        <item m="1" x="295"/>
        <item m="1" x="318"/>
        <item m="1" x="3978"/>
        <item m="1" x="173"/>
        <item m="1" x="1315"/>
        <item m="1" x="2849"/>
        <item m="1" x="207"/>
        <item m="1" x="2686"/>
        <item m="1" x="3482"/>
        <item m="1" x="3685"/>
        <item m="1" x="1240"/>
        <item m="1" x="1459"/>
        <item m="1" x="144"/>
        <item m="1" x="1911"/>
        <item m="1" x="3916"/>
        <item m="1" x="4221"/>
        <item m="1" x="2323"/>
        <item m="1" x="2596"/>
        <item m="1" x="3908"/>
        <item m="1" x="4261"/>
        <item m="1" x="3321"/>
        <item m="1" x="1139"/>
        <item m="1" x="367"/>
        <item m="1" x="1283"/>
        <item m="1" x="140"/>
        <item m="1" x="3740"/>
        <item m="1" x="2342"/>
        <item m="1" x="3374"/>
        <item m="1" x="701"/>
        <item m="1" x="2134"/>
        <item m="1" x="1908"/>
        <item m="1" x="3228"/>
        <item m="1" x="1995"/>
        <item m="1" x="311"/>
        <item m="1" x="936"/>
        <item m="1" x="325"/>
        <item m="1" x="1302"/>
        <item m="1" x="1384"/>
        <item m="1" x="2568"/>
        <item m="1" x="3468"/>
        <item m="1" x="2531"/>
        <item m="1" x="2802"/>
        <item m="1" x="1440"/>
        <item m="1" x="4215"/>
        <item m="1" x="2104"/>
        <item m="1" x="425"/>
        <item m="1" x="3386"/>
        <item m="1" x="331"/>
        <item m="1" x="3721"/>
        <item m="1" x="13"/>
        <item m="1" x="320"/>
        <item m="1" x="634"/>
        <item m="1" x="2063"/>
        <item m="1" x="1670"/>
        <item m="1" x="1489"/>
        <item m="1" x="1403"/>
        <item m="1" x="532"/>
        <item m="1" x="715"/>
        <item m="1" x="387"/>
        <item m="1" x="3270"/>
        <item m="1" x="434"/>
        <item m="1" x="3035"/>
        <item m="1" x="1163"/>
        <item m="1" x="1953"/>
        <item m="1" x="934"/>
        <item m="1" x="153"/>
        <item m="1" x="2664"/>
        <item m="1" x="2301"/>
        <item m="1" x="3487"/>
        <item m="1" x="2574"/>
        <item m="1" x="4246"/>
        <item m="1" x="341"/>
        <item m="1" x="1450"/>
        <item m="1" x="1243"/>
        <item m="1" x="990"/>
        <item m="1" x="1200"/>
        <item m="1" x="942"/>
        <item m="1" x="2498"/>
        <item m="1" x="3687"/>
        <item m="1" x="3045"/>
        <item m="1" x="1499"/>
        <item m="1" x="4138"/>
        <item m="1" x="3227"/>
        <item m="1" x="3047"/>
        <item m="1" x="4225"/>
        <item m="1" x="1279"/>
        <item m="1" x="4123"/>
        <item m="1" x="2427"/>
        <item m="1" x="3682"/>
        <item m="1" x="621"/>
        <item m="1" x="2435"/>
        <item m="1" x="3797"/>
        <item m="1" x="1600"/>
        <item m="1" x="3718"/>
        <item m="1" x="2271"/>
        <item m="1" x="2325"/>
        <item m="1" x="1762"/>
        <item m="1" x="3925"/>
        <item m="1" x="1194"/>
        <item m="1" x="1738"/>
        <item m="1" x="1890"/>
        <item m="1" x="2441"/>
        <item m="1" x="698"/>
        <item m="1" x="3406"/>
        <item m="1" x="3683"/>
        <item m="1" x="3387"/>
        <item m="1" x="1959"/>
        <item m="1" x="3279"/>
        <item m="1" x="817"/>
        <item m="1" x="3004"/>
        <item m="1" x="2624"/>
        <item m="1" x="3553"/>
        <item m="1" x="3013"/>
        <item m="1" x="3225"/>
        <item m="1" x="1135"/>
        <item m="1" x="3897"/>
        <item m="1" x="3365"/>
        <item m="1" x="2890"/>
        <item m="1" x="2475"/>
        <item m="1" x="797"/>
        <item m="1" x="1427"/>
        <item m="1" x="821"/>
        <item m="1" x="1364"/>
        <item m="1" x="2959"/>
        <item m="1" x="3982"/>
        <item m="1" x="881"/>
        <item m="1" x="3196"/>
        <item m="1" x="328"/>
        <item m="1" x="3921"/>
        <item m="1" x="1780"/>
        <item m="1" x="1242"/>
        <item m="1" x="3427"/>
        <item m="1" x="316"/>
        <item m="1" x="1537"/>
        <item m="1" x="2236"/>
        <item m="1" x="2050"/>
        <item m="1" x="3871"/>
        <item m="1" x="3071"/>
        <item m="1" x="2001"/>
        <item m="1" x="538"/>
        <item m="1" x="2731"/>
        <item m="1" x="1971"/>
        <item m="1" x="955"/>
        <item m="1" x="376"/>
        <item m="1" x="2256"/>
        <item m="1" x="2164"/>
        <item m="1" x="773"/>
        <item m="1" x="333"/>
        <item m="1" x="2560"/>
        <item m="1" x="314"/>
        <item m="1" x="2032"/>
        <item m="1" x="4159"/>
        <item m="1" x="3501"/>
        <item m="1" x="3906"/>
        <item m="1" x="2635"/>
        <item m="1" x="1011"/>
        <item m="1" x="2716"/>
        <item m="1" x="1832"/>
        <item m="1" x="335"/>
        <item m="1" x="105"/>
        <item m="1" x="270"/>
        <item m="1" x="2957"/>
        <item m="1" x="568"/>
        <item m="1" x="1799"/>
        <item m="1" x="3280"/>
        <item m="1" x="973"/>
        <item m="1" x="1862"/>
        <item m="1" x="3318"/>
        <item m="1" x="2539"/>
        <item m="1" x="1796"/>
        <item m="1" x="1065"/>
        <item m="1" x="269"/>
        <item m="1" x="2495"/>
        <item m="1" x="2396"/>
        <item m="1" x="1052"/>
        <item m="1" x="3418"/>
        <item m="1" x="2064"/>
        <item m="1" x="3466"/>
        <item m="1" x="3794"/>
        <item m="1" x="25"/>
        <item m="1" x="717"/>
        <item m="1" x="3481"/>
        <item m="1" x="3488"/>
        <item m="1" x="1904"/>
        <item m="1" x="605"/>
        <item m="1" x="3234"/>
        <item m="1" x="482"/>
        <item m="1" x="1040"/>
        <item m="1" x="1449"/>
        <item m="1" x="2011"/>
        <item m="1" x="271"/>
        <item m="1" x="3091"/>
        <item m="1" x="710"/>
        <item m="1" x="1756"/>
        <item m="1" x="2479"/>
        <item m="1" x="2654"/>
        <item m="1" x="3329"/>
        <item m="1" x="3480"/>
        <item m="1" x="229"/>
        <item m="1" x="3953"/>
        <item m="1" x="2340"/>
        <item m="1" x="1219"/>
        <item m="1" x="3661"/>
        <item m="1" x="655"/>
        <item m="1" x="2002"/>
        <item m="1" x="2494"/>
        <item m="1" x="4114"/>
        <item m="1" x="4262"/>
        <item m="1" x="356"/>
        <item m="1" x="4211"/>
        <item m="1" x="2255"/>
        <item m="1" x="1245"/>
        <item m="1" x="3872"/>
        <item m="1" x="2620"/>
        <item m="1" x="1627"/>
        <item m="1" x="11"/>
        <item m="1" x="1378"/>
        <item m="1" x="1140"/>
        <item m="1" x="522"/>
        <item m="1" x="1192"/>
        <item m="1" x="1985"/>
        <item m="1" x="954"/>
        <item m="1" x="3560"/>
        <item m="1" x="1728"/>
        <item m="1" x="278"/>
        <item m="1" x="4177"/>
        <item m="1" x="2558"/>
        <item m="1" x="1779"/>
        <item m="1" x="1733"/>
        <item m="1" x="4280"/>
        <item m="1" x="2882"/>
        <item m="1" x="251"/>
        <item m="1" x="2035"/>
        <item m="1" x="1437"/>
        <item m="1" x="1720"/>
        <item m="1" x="3224"/>
        <item m="1" x="944"/>
        <item m="1" x="670"/>
        <item m="1" x="1858"/>
        <item m="1" x="3431"/>
        <item m="1" x="2314"/>
        <item m="1" x="1342"/>
        <item m="1" x="4017"/>
        <item m="1" x="1319"/>
        <item m="1" x="3689"/>
        <item m="1" x="3742"/>
        <item m="1" x="3734"/>
        <item m="1" x="1748"/>
        <item m="1" x="3775"/>
        <item m="1" x="3162"/>
        <item m="1" x="4129"/>
        <item m="1" x="1357"/>
        <item m="1" x="3444"/>
        <item m="1" x="2393"/>
        <item m="1" x="3186"/>
        <item m="1" x="1332"/>
        <item m="1" x="545"/>
        <item m="1" x="80"/>
        <item m="1" x="3837"/>
        <item m="1" x="3563"/>
        <item m="1" x="2963"/>
        <item m="1" x="116"/>
        <item m="1" x="1773"/>
        <item m="1" x="2223"/>
        <item m="1" x="1010"/>
        <item m="1" x="192"/>
        <item m="1" x="2862"/>
        <item m="1" x="869"/>
        <item m="1" x="2046"/>
        <item m="1" x="924"/>
        <item m="1" x="4049"/>
        <item m="1" x="95"/>
        <item m="1" x="2092"/>
        <item m="1" x="3096"/>
        <item m="1" x="1178"/>
        <item m="1" x="3105"/>
        <item m="1" x="3558"/>
        <item m="1" x="317"/>
        <item m="1" x="2070"/>
        <item m="1" x="3192"/>
        <item m="1" x="609"/>
        <item m="1" x="806"/>
        <item m="1" x="1570"/>
        <item m="1" x="1134"/>
        <item m="1" x="1980"/>
        <item m="1" x="3246"/>
        <item m="1" x="441"/>
        <item m="1" x="3512"/>
        <item m="1" x="2140"/>
        <item m="1" x="2485"/>
        <item m="1" x="1878"/>
        <item m="1" x="2106"/>
        <item m="1" x="2418"/>
        <item m="1" x="1036"/>
        <item m="1" x="1653"/>
        <item m="1" x="1153"/>
        <item m="1" x="117"/>
        <item m="1" x="3061"/>
        <item m="1" x="4157"/>
        <item m="1" x="489"/>
        <item m="1" x="2615"/>
        <item m="1" x="4205"/>
        <item m="1" x="1516"/>
        <item m="1" x="2881"/>
        <item m="1" x="1986"/>
        <item m="1" x="1660"/>
        <item m="1" x="4037"/>
        <item m="1" x="908"/>
        <item m="1" x="1397"/>
        <item m="1" x="1045"/>
        <item m="1" x="2384"/>
        <item m="1" x="1170"/>
        <item m="1" x="573"/>
        <item m="1" x="2954"/>
        <item m="1" x="2887"/>
        <item m="1" x="3451"/>
        <item m="1" x="2320"/>
        <item m="1" x="2095"/>
        <item m="1" x="3135"/>
        <item m="1" x="4111"/>
        <item m="1" x="98"/>
        <item m="1" x="1550"/>
        <item m="1" x="36"/>
        <item m="1" x="2268"/>
        <item m="1" x="2351"/>
        <item m="1" x="2007"/>
        <item m="1" x="1691"/>
        <item m="1" x="3379"/>
        <item m="1" x="3605"/>
        <item m="1" x="1672"/>
        <item m="1" x="2880"/>
        <item m="1" x="1990"/>
        <item m="1" x="721"/>
        <item m="1" x="2249"/>
        <item m="1" x="1944"/>
        <item m="1" x="1114"/>
        <item m="1" x="2795"/>
        <item m="1" x="1534"/>
        <item m="1" x="3612"/>
        <item m="1" x="700"/>
        <item m="1" x="3592"/>
        <item m="1" x="2226"/>
        <item m="1" x="2843"/>
        <item m="1" x="166"/>
        <item m="1" x="2920"/>
        <item m="1" x="1937"/>
        <item m="1" x="1777"/>
        <item m="1" x="216"/>
        <item m="1" x="2491"/>
        <item m="1" x="2717"/>
        <item m="1" x="627"/>
        <item m="1" x="981"/>
        <item m="1" x="2193"/>
        <item m="1" x="82"/>
        <item m="1" x="3031"/>
        <item m="1" x="2538"/>
        <item m="1" x="3670"/>
        <item m="1" x="2093"/>
        <item m="1" x="630"/>
        <item m="1" x="2030"/>
        <item m="1" x="2648"/>
        <item m="1" x="1464"/>
        <item m="1" x="2145"/>
        <item m="1" x="2597"/>
        <item m="1" x="3675"/>
        <item m="1" x="696"/>
        <item m="1" x="1109"/>
        <item m="1" x="1511"/>
        <item m="1" x="4077"/>
        <item m="1" x="2705"/>
        <item m="1" x="1804"/>
        <item m="1" x="798"/>
        <item m="1" x="1846"/>
        <item m="1" x="1097"/>
        <item m="1" x="1873"/>
        <item m="1" x="62"/>
        <item m="1" x="4195"/>
        <item m="1" x="2043"/>
        <item m="1" x="3128"/>
        <item m="1" x="3984"/>
        <item m="1" x="3428"/>
        <item m="1" x="1235"/>
        <item m="1" x="2208"/>
        <item m="1" x="2738"/>
        <item m="1" x="2429"/>
        <item m="1" x="719"/>
        <item m="1" x="2902"/>
        <item m="1" x="1927"/>
        <item m="1" x="807"/>
        <item m="1" x="88"/>
        <item m="1" x="3631"/>
        <item m="1" x="3347"/>
        <item m="1" x="676"/>
        <item m="1" x="1473"/>
        <item m="1" x="822"/>
        <item m="1" x="228"/>
        <item m="1" x="2016"/>
        <item m="1" x="852"/>
        <item m="1" x="2509"/>
        <item m="1" x="93"/>
        <item m="1" x="3344"/>
        <item m="1" x="1526"/>
        <item m="1" x="2800"/>
        <item m="1" x="2347"/>
        <item m="1" x="1430"/>
        <item m="1" x="1512"/>
        <item m="1" x="562"/>
        <item m="1" x="1977"/>
        <item m="1" x="1253"/>
        <item m="1" x="1158"/>
        <item m="1" x="4237"/>
        <item m="1" x="3765"/>
        <item m="1" x="2626"/>
        <item m="1" x="2889"/>
        <item m="1" x="4183"/>
        <item m="1" x="976"/>
        <item m="1" x="3141"/>
        <item m="1" x="1225"/>
        <item m="1" x="1792"/>
        <item m="1" x="1888"/>
        <item m="1" x="2360"/>
        <item m="1" x="3306"/>
        <item m="1" x="2324"/>
        <item m="1" x="416"/>
        <item m="1" x="861"/>
        <item m="1" x="2653"/>
        <item m="1" x="2684"/>
        <item m="1" x="1758"/>
        <item m="1" x="361"/>
        <item m="1" x="622"/>
        <item m="1" x="43"/>
        <item m="1" x="2021"/>
        <item m="1" x="4258"/>
        <item m="1" x="2280"/>
        <item m="1" x="2179"/>
        <item m="1" x="475"/>
        <item m="1" x="1380"/>
        <item m="1" x="1349"/>
        <item m="1" x="1106"/>
        <item m="1" x="1751"/>
        <item m="1" x="1951"/>
        <item m="1" x="1544"/>
        <item m="1" x="280"/>
        <item m="1" x="776"/>
        <item m="1" x="626"/>
        <item m="1" x="1520"/>
        <item m="1" x="1072"/>
        <item m="1" x="661"/>
        <item m="1" x="2713"/>
        <item m="1" x="1784"/>
        <item m="1" x="992"/>
        <item m="1" x="2652"/>
        <item m="1" x="3551"/>
        <item m="1" x="4126"/>
        <item m="1" x="1482"/>
        <item m="1" x="410"/>
        <item m="1" x="3722"/>
        <item m="1" x="3368"/>
        <item m="1" x="2598"/>
        <item m="1" x="2730"/>
        <item m="1" x="2130"/>
        <item m="1" x="1301"/>
        <item m="1" x="1387"/>
        <item m="1" x="2893"/>
        <item m="1" x="1211"/>
        <item m="1" x="253"/>
        <item m="1" x="2792"/>
        <item m="1" x="680"/>
        <item m="1" x="3097"/>
        <item m="1" x="499"/>
        <item m="1" x="2883"/>
        <item m="1" x="1623"/>
        <item m="1" x="906"/>
        <item m="1" x="4268"/>
        <item m="1" x="3597"/>
        <item m="1" x="1307"/>
        <item m="1" x="2758"/>
        <item m="1" x="4194"/>
        <item m="1" x="2904"/>
        <item m="1" x="2354"/>
        <item m="1" x="3081"/>
        <item m="1" x="3054"/>
        <item m="1" x="4092"/>
        <item m="1" x="565"/>
        <item m="1" x="3034"/>
        <item m="1" x="1824"/>
        <item m="1" x="3439"/>
        <item m="1" x="2865"/>
        <item m="1" x="3424"/>
        <item m="1" x="1863"/>
        <item m="1" x="905"/>
        <item m="1" x="1975"/>
        <item m="1" x="1568"/>
        <item m="1" x="651"/>
        <item m="1" x="1872"/>
        <item m="1" x="1137"/>
        <item m="1" x="1577"/>
        <item m="1" x="124"/>
        <item m="1" x="435"/>
        <item m="1" x="2121"/>
        <item m="1" x="2197"/>
        <item m="1" x="3786"/>
        <item m="1" x="358"/>
        <item m="1" x="391"/>
        <item m="1" x="3638"/>
        <item m="1" x="2601"/>
        <item m="1" x="450"/>
        <item m="1" x="1794"/>
        <item m="1" x="1870"/>
        <item m="1" x="2253"/>
        <item m="1" x="377"/>
        <item m="1" x="4191"/>
        <item m="1" x="3164"/>
        <item m="1" x="2382"/>
        <item m="1" x="3944"/>
        <item m="1" x="748"/>
        <item m="1" x="2854"/>
        <item m="1" x="1062"/>
        <item m="1" x="2426"/>
        <item m="1" x="4207"/>
        <item m="1" x="1001"/>
        <item m="1" x="909"/>
        <item m="1" x="3731"/>
        <item m="1" x="4085"/>
        <item m="1" x="1467"/>
        <item m="1" x="2470"/>
        <item m="1" x="1164"/>
        <item m="1" x="3514"/>
        <item m="1" x="2728"/>
        <item m="1" x="535"/>
        <item m="1" x="3398"/>
        <item m="1" x="3089"/>
        <item m="1" x="770"/>
        <item m="1" x="1541"/>
        <item m="1" x="3474"/>
        <item m="1" x="241"/>
        <item m="1" x="4296"/>
        <item m="1" x="3189"/>
        <item m="1" x="1766"/>
        <item m="1" x="3038"/>
        <item m="1" x="3401"/>
        <item m="1" x="4128"/>
        <item m="1" x="3369"/>
        <item m="1" x="2869"/>
        <item m="1" x="2047"/>
        <item m="1" x="261"/>
        <item m="1" x="2586"/>
        <item m="1" x="3380"/>
        <item m="1" x="2629"/>
        <item m="1" x="1241"/>
        <item m="1" x="3990"/>
        <item m="1" x="3000"/>
        <item m="1" x="3469"/>
        <item m="1" x="3165"/>
        <item m="1" x="1632"/>
        <item m="1" x="1638"/>
        <item m="1" x="1348"/>
        <item m="1" x="136"/>
        <item m="1" x="1216"/>
        <item m="1" x="4076"/>
        <item m="1" x="3937"/>
        <item m="1" x="284"/>
        <item m="1" x="3477"/>
        <item m="1" x="4188"/>
        <item m="1" x="3489"/>
        <item m="1" x="1898"/>
        <item m="1" x="994"/>
        <item m="1" x="2176"/>
        <item m="1" x="1500"/>
        <item m="1" x="4174"/>
        <item m="1" x="887"/>
        <item m="1" x="1019"/>
        <item m="1" x="1688"/>
        <item m="1" x="968"/>
        <item m="1" x="1828"/>
        <item m="1" x="257"/>
        <item m="1" x="3493"/>
        <item m="1" x="3864"/>
        <item m="1" x="125"/>
        <item m="1" x="2590"/>
        <item m="1" x="2575"/>
        <item m="1" x="3029"/>
        <item m="1" x="2243"/>
        <item m="1" x="2692"/>
        <item m="1" x="3895"/>
        <item m="1" x="3619"/>
        <item m="1" x="1657"/>
        <item m="1" x="2765"/>
        <item m="1" x="3884"/>
        <item m="1" x="3736"/>
        <item m="1" x="3088"/>
        <item m="1" x="2362"/>
        <item m="1" x="306"/>
        <item m="1" x="2126"/>
        <item m="1" x="2151"/>
        <item m="1" x="1875"/>
        <item m="1" x="109"/>
        <item m="1" x="3812"/>
        <item m="1" x="138"/>
        <item m="1" x="2318"/>
        <item m="1" x="3046"/>
        <item m="1" x="2027"/>
        <item m="1" x="1314"/>
        <item m="1" x="2714"/>
        <item m="1" x="1402"/>
        <item m="1" x="4213"/>
        <item m="1" x="2689"/>
        <item m="1" x="3889"/>
        <item m="1" x="2617"/>
        <item m="1" x="4155"/>
        <item m="1" x="2915"/>
        <item m="1" x="2623"/>
        <item m="1" x="2060"/>
        <item m="1" x="1802"/>
        <item m="1" x="1311"/>
        <item m="1" x="4224"/>
        <item m="1" x="1982"/>
        <item m="1" x="3404"/>
        <item m="1" x="4089"/>
        <item m="1" x="188"/>
        <item m="1" x="3242"/>
        <item m="1" x="842"/>
        <item m="1" x="2517"/>
        <item m="1" x="2343"/>
        <item m="1" x="2036"/>
        <item m="1" x="1286"/>
        <item m="1" x="3760"/>
        <item m="1" x="2643"/>
        <item m="1" x="2012"/>
        <item m="1" x="415"/>
        <item m="1" x="1186"/>
        <item m="1" x="2281"/>
        <item m="1" x="3557"/>
        <item m="1" x="4127"/>
        <item m="1" x="2736"/>
        <item m="1" x="3476"/>
        <item m="1" x="517"/>
        <item m="1" x="2725"/>
        <item m="1" x="1494"/>
        <item m="1" x="3979"/>
        <item m="1" x="606"/>
        <item m="1" x="4175"/>
        <item m="1" x="2040"/>
        <item m="1" x="4209"/>
        <item m="1" x="1884"/>
        <item m="1" x="4303"/>
        <item m="1" x="1398"/>
        <item m="1" x="3578"/>
        <item m="1" x="1252"/>
        <item m="1" x="1648"/>
        <item m="1" x="1752"/>
        <item m="1" x="1889"/>
        <item m="1" x="1696"/>
        <item m="1" x="4192"/>
        <item m="1" x="844"/>
        <item m="1" x="236"/>
        <item m="1" x="3737"/>
        <item m="1" x="1892"/>
        <item m="1" x="2042"/>
        <item m="1" x="1339"/>
        <item m="1" x="2707"/>
        <item m="1" x="3390"/>
        <item m="1" x="2650"/>
        <item m="1" x="509"/>
        <item m="1" x="1601"/>
        <item m="1" x="2519"/>
        <item m="1" x="1586"/>
        <item m="1" x="3907"/>
        <item m="1" x="1090"/>
        <item m="1" x="1821"/>
        <item m="1" x="3358"/>
        <item m="1" x="4012"/>
        <item m="1" x="2628"/>
        <item m="1" x="1641"/>
        <item m="1" x="3964"/>
        <item m="1" x="2143"/>
        <item m="1" x="3492"/>
        <item m="1" x="943"/>
        <item m="1" x="2972"/>
        <item m="1" x="3744"/>
        <item m="1" x="1974"/>
        <item m="1" x="724"/>
        <item m="1" x="3032"/>
        <item m="1" x="4057"/>
        <item m="1" x="746"/>
        <item m="1" x="1079"/>
        <item m="1" x="1350"/>
        <item m="1" x="1024"/>
        <item m="1" x="2903"/>
        <item m="1" x="3434"/>
        <item m="1" x="1406"/>
        <item m="1" x="1455"/>
        <item m="1" x="3021"/>
        <item m="1" x="304"/>
        <item m="1" x="3654"/>
        <item m="1" x="979"/>
        <item m="1" x="3806"/>
        <item m="1" x="1193"/>
        <item m="1" x="1783"/>
        <item m="1" x="2167"/>
        <item m="1" x="1769"/>
        <item m="1" x="351"/>
        <item m="1" x="411"/>
        <item m="1" x="3826"/>
        <item m="1" x="678"/>
        <item m="1" x="3644"/>
        <item m="1" x="193"/>
        <item m="1" x="511"/>
        <item m="1" x="403"/>
        <item m="1" x="380"/>
        <item m="1" x="2463"/>
        <item m="1" x="1091"/>
        <item m="1" x="2254"/>
        <item m="1" x="897"/>
        <item m="1" x="433"/>
        <item m="1" x="1451"/>
        <item m="1" x="2395"/>
        <item m="1" x="614"/>
        <item m="1" x="1795"/>
        <item m="1" x="889"/>
        <item m="1" x="3382"/>
        <item m="1" x="3960"/>
        <item m="1" x="3513"/>
        <item m="1" x="4252"/>
        <item m="1" x="3998"/>
        <item m="1" x="113"/>
        <item m="1" x="1509"/>
        <item m="1" x="674"/>
        <item m="1" x="1322"/>
        <item m="1" x="3370"/>
        <item m="1" x="1120"/>
        <item m="1" x="447"/>
        <item m="1" x="4294"/>
        <item m="1" x="4279"/>
        <item m="1" x="1883"/>
        <item m="1" x="1998"/>
        <item m="1" x="1116"/>
        <item m="1" x="1295"/>
        <item m="1" x="1608"/>
        <item m="1" x="1452"/>
        <item m="1" x="2065"/>
        <item m="1" x="1251"/>
        <item m="1" x="1475"/>
        <item m="1" x="1234"/>
        <item m="1" x="2327"/>
        <item m="1" x="1495"/>
        <item m="1" x="1492"/>
        <item m="1" x="418"/>
        <item m="1" x="4118"/>
        <item m="1" x="1343"/>
        <item m="1" x="1257"/>
        <item m="1" x="1457"/>
        <item m="1" x="1946"/>
        <item m="1" x="2110"/>
        <item m="1" x="2154"/>
        <item m="1" x="1551"/>
        <item m="1" x="2259"/>
        <item m="1" x="2397"/>
        <item m="1" x="1422"/>
        <item m="1" x="50"/>
        <item m="1" x="3080"/>
        <item m="1" x="3869"/>
        <item m="1" x="3564"/>
        <item m="1" x="1837"/>
        <item m="1" x="697"/>
        <item m="1" x="1637"/>
        <item m="1" x="3695"/>
        <item m="1" x="54"/>
        <item m="1" x="4007"/>
        <item m="1" x="2554"/>
        <item m="1" x="2138"/>
        <item m="1" x="3671"/>
        <item m="1" x="613"/>
        <item m="1" x="399"/>
        <item m="1" x="1165"/>
        <item m="1" x="446"/>
        <item m="1" x="1356"/>
        <item m="1" x="2839"/>
        <item m="1" x="3176"/>
        <item m="1" x="1215"/>
        <item m="1" x="3920"/>
        <item m="1" x="1576"/>
        <item m="1" x="2171"/>
        <item m="1" x="3155"/>
        <item m="1" x="593"/>
        <item m="1" x="1172"/>
        <item m="1" x="4267"/>
        <item m="1" x="2072"/>
        <item m="1" x="2637"/>
        <item m="1" x="1296"/>
        <item m="1" x="2544"/>
        <item m="1" x="2124"/>
        <item m="1" x="2074"/>
        <item m="1" x="1801"/>
        <item m="1" x="1555"/>
        <item m="1" x="2774"/>
        <item m="1" x="2576"/>
        <item m="1" x="2071"/>
        <item m="1" x="2144"/>
        <item m="1" x="3422"/>
        <item m="1" x="854"/>
        <item m="1" x="381"/>
        <item m="1" x="603"/>
        <item m="1" x="3583"/>
        <item m="1" x="2131"/>
        <item m="1" x="754"/>
        <item m="1" x="502"/>
        <item m="1" x="1306"/>
        <item m="1" x="2985"/>
        <item m="1" x="3954"/>
        <item m="1" x="161"/>
        <item m="1" x="2767"/>
        <item m="1" x="3530"/>
        <item m="1" x="3615"/>
        <item m="1" x="874"/>
        <item m="1" x="3460"/>
        <item m="1" x="2068"/>
        <item m="1" x="218"/>
        <item m="1" x="2407"/>
        <item m="1" x="1854"/>
        <item m="1" x="751"/>
        <item m="1" x="4276"/>
        <item m="1" x="480"/>
        <item m="1" x="1087"/>
        <item m="1" x="2584"/>
        <item m="1" x="2879"/>
        <item m="1" x="862"/>
        <item m="1" x="1111"/>
        <item m="1" x="3809"/>
        <item m="1" x="3686"/>
        <item m="1" x="619"/>
        <item m="1" x="2225"/>
        <item m="1" x="1981"/>
        <item m="1" x="2830"/>
        <item m="1" x="3691"/>
        <item m="1" x="3929"/>
        <item m="1" x="2056"/>
        <item m="1" x="3346"/>
        <item m="1" x="3532"/>
        <item m="1" x="2183"/>
        <item m="1" x="4271"/>
        <item m="1" x="1148"/>
        <item m="1" x="3632"/>
        <item m="1" x="2217"/>
        <item m="1" x="196"/>
        <item m="1" x="1294"/>
        <item m="1" x="2366"/>
        <item m="1" x="2218"/>
        <item m="1" x="4297"/>
        <item m="1" x="2884"/>
        <item m="1" x="2466"/>
        <item m="1" x="70"/>
        <item m="1" x="1772"/>
        <item m="1" x="1169"/>
        <item m="1" x="2341"/>
        <item m="1" x="813"/>
        <item m="1" x="519"/>
        <item m="1" x="2775"/>
        <item m="1" x="448"/>
        <item m="1" x="1871"/>
        <item m="1" x="2701"/>
        <item m="1" x="4051"/>
        <item m="1" x="409"/>
        <item m="1" x="3955"/>
        <item m="1" x="449"/>
        <item m="1" x="2436"/>
        <item m="1" x="557"/>
        <item m="1" x="2520"/>
        <item m="1" x="4044"/>
        <item m="1" x="607"/>
        <item m="1" x="1563"/>
        <item m="1" x="1575"/>
        <item m="1" x="2480"/>
        <item m="1" x="1442"/>
        <item m="1" x="939"/>
        <item m="1" x="841"/>
        <item m="1" x="4151"/>
        <item m="1" x="22"/>
        <item m="1" x="4220"/>
        <item m="1" x="2003"/>
        <item m="1" x="4149"/>
        <item m="1" x="2461"/>
        <item m="1" x="4004"/>
        <item m="1" x="302"/>
        <item m="1" x="2486"/>
        <item m="1" x="2956"/>
        <item m="1" x="729"/>
        <item m="1" x="486"/>
        <item m="1" x="3052"/>
        <item m="1" x="57"/>
        <item m="1" x="3467"/>
        <item m="1" x="2213"/>
        <item m="1" x="2945"/>
        <item m="1" x="488"/>
        <item m="1" x="3064"/>
        <item m="1" x="3665"/>
        <item m="1" x="1930"/>
        <item m="1" x="2326"/>
        <item m="1" x="2490"/>
        <item m="1" x="481"/>
        <item m="1" x="2334"/>
        <item m="1" x="711"/>
        <item m="1" x="1423"/>
        <item m="1" x="986"/>
        <item m="1" x="3836"/>
        <item m="1" x="30"/>
        <item m="1" x="3122"/>
        <item m="1" x="3323"/>
        <item m="1" x="948"/>
        <item m="1" x="374"/>
        <item m="1" x="3124"/>
        <item m="1" x="4067"/>
        <item m="1" x="2321"/>
        <item m="1" x="4235"/>
        <item m="1" x="4052"/>
        <item m="1" x="4226"/>
        <item m="1" x="3272"/>
        <item m="1" x="974"/>
        <item m="1" x="714"/>
        <item m="1" x="3589"/>
        <item m="1" x="4053"/>
        <item m="1" x="3854"/>
        <item m="1" x="2930"/>
        <item m="1" x="227"/>
        <item m="1" x="231"/>
        <item m="1" x="1950"/>
        <item m="1" x="2673"/>
        <item m="1" x="872"/>
        <item m="1" x="1525"/>
        <item m="1" x="2798"/>
        <item m="1" x="388"/>
        <item m="1" x="205"/>
        <item m="1" x="3819"/>
        <item m="1" x="3499"/>
        <item m="1" x="2679"/>
        <item m="1" x="2235"/>
        <item m="1" x="1876"/>
        <item m="1" x="3912"/>
        <item m="1" x="2473"/>
        <item m="1" x="3191"/>
        <item m="1" x="2618"/>
        <item m="1" x="4236"/>
        <item m="1" x="2468"/>
        <item m="1" x="2949"/>
        <item m="1" x="1612"/>
        <item m="1" x="4239"/>
        <item m="1" x="2055"/>
        <item m="1" x="985"/>
        <item m="1" x="3036"/>
        <item m="1" x="3206"/>
        <item m="1" x="1447"/>
        <item m="1" x="3019"/>
        <item m="1" x="3510"/>
        <item m="1" x="2757"/>
        <item m="1" x="1668"/>
        <item m="1" x="1915"/>
        <item m="1" x="4110"/>
        <item m="1" x="3813"/>
        <item m="1" x="4277"/>
        <item m="1" x="967"/>
        <item m="1" x="4125"/>
        <item m="1" x="1071"/>
        <item m="1" x="766"/>
        <item m="1" x="1434"/>
        <item m="1" x="287"/>
        <item m="1" x="2212"/>
        <item m="1" x="3712"/>
        <item m="1" x="2898"/>
        <item m="1" x="598"/>
        <item m="1" x="1523"/>
        <item m="1" x="847"/>
        <item m="1" x="2005"/>
        <item m="1" x="2313"/>
        <item m="1" x="1831"/>
        <item m="1" x="1566"/>
        <item m="1" x="1764"/>
        <item m="1" x="1877"/>
        <item m="1" x="2363"/>
        <item m="1" x="1323"/>
        <item m="1" x="2033"/>
        <item m="1" x="500"/>
        <item m="1" x="911"/>
        <item m="1" x="146"/>
        <item m="1" x="4147"/>
        <item m="1" x="3183"/>
        <item m="1" x="2547"/>
        <item m="1" x="1734"/>
        <item m="1" x="805"/>
        <item m="1" x="267"/>
        <item m="1" x="795"/>
        <item m="1" x="1996"/>
        <item m="1" x="3572"/>
        <item m="1" x="930"/>
        <item m="1" x="1254"/>
        <item m="1" x="4143"/>
        <item m="1" x="1582"/>
        <item m="1" x="832"/>
        <item m="1" x="2806"/>
        <item m="1" x="246"/>
        <item m="1" x="3549"/>
        <item m="1" x="1184"/>
        <item m="1" x="2826"/>
        <item m="1" x="1067"/>
        <item m="1" x="2310"/>
        <item m="1" x="2814"/>
        <item m="1" x="4223"/>
        <item m="1" x="1868"/>
        <item m="1" x="1063"/>
        <item m="1" x="2801"/>
        <item m="1" x="2636"/>
        <item m="1" x="1064"/>
        <item m="1" x="3559"/>
        <item m="1" x="3662"/>
        <item m="1" x="3647"/>
        <item m="1" x="2482"/>
        <item m="1" x="3762"/>
        <item m="1" x="3324"/>
        <item m="1" x="3843"/>
        <item m="1" x="947"/>
        <item m="1" x="1388"/>
        <item m="1" x="1857"/>
        <item m="1" x="4229"/>
        <item m="1" x="3094"/>
        <item m="1" x="2057"/>
        <item m="1" x="2619"/>
        <item m="1" x="1456"/>
        <item m="1" x="3220"/>
        <item m="1" x="334"/>
        <item m="1" x="1303"/>
        <item m="1" x="3591"/>
        <item m="1" x="2706"/>
        <item m="1" x="75"/>
        <item m="1" x="2380"/>
        <item m="1" x="2098"/>
        <item m="1" x="1647"/>
        <item m="1" x="1789"/>
        <item m="1" x="1226"/>
        <item m="1" x="2923"/>
        <item m="1" x="3433"/>
        <item m="1" x="245"/>
        <item m="1" x="2398"/>
        <item m="1" x="1299"/>
        <item m="1" x="3102"/>
        <item m="1" x="1386"/>
        <item m="1" x="2471"/>
        <item m="1" x="1081"/>
        <item m="1" x="506"/>
        <item m="1" x="2015"/>
        <item m="1" x="3556"/>
        <item m="1" x="1300"/>
        <item m="1" x="3005"/>
        <item m="1" x="1261"/>
        <item m="1" x="1910"/>
        <item m="1" x="638"/>
        <item m="1" x="2761"/>
        <item m="1" x="3899"/>
        <item m="1" x="3336"/>
        <item m="1" x="3098"/>
        <item m="1" x="2445"/>
        <item m="1" x="3290"/>
        <item m="1" x="4249"/>
        <item m="1" x="3494"/>
        <item m="1" x="4078"/>
        <item m="1" x="4212"/>
        <item m="1" x="1521"/>
        <item m="1" x="2132"/>
        <item m="1" x="183"/>
        <item m="1" x="3251"/>
        <item m="1" x="2848"/>
        <item m="1" x="1256"/>
        <item m="1" x="1310"/>
        <item m="1" x="2076"/>
        <item m="1" x="3730"/>
        <item m="1" x="120"/>
        <item m="1" x="2931"/>
        <item m="1" x="2097"/>
        <item m="1" x="886"/>
        <item m="1" x="1817"/>
        <item m="1" x="142"/>
        <item m="1" x="2146"/>
        <item m="1" x="3988"/>
        <item m="1" x="3966"/>
        <item m="1" x="77"/>
        <item m="1" x="1845"/>
        <item m="1" x="3145"/>
        <item m="1" x="2553"/>
        <item m="1" x="2026"/>
        <item m="1" x="492"/>
        <item m="1" x="3980"/>
        <item m="1" x="2369"/>
        <item m="1" x="2913"/>
        <item m="1" x="468"/>
        <item m="1" x="916"/>
        <item m="1" x="2120"/>
        <item m="1" x="3764"/>
        <item m="1" x="386"/>
        <item m="1" x="454"/>
        <item m="1" x="3674"/>
        <item m="1" x="1448"/>
        <item m="1" x="4165"/>
        <item m="1" x="3639"/>
        <item m="1" x="3767"/>
        <item m="1" x="941"/>
        <item m="1" x="2157"/>
        <item m="1" x="828"/>
        <item m="1" x="42"/>
        <item m="1" x="838"/>
        <item m="1" x="3844"/>
        <item m="1" x="3432"/>
        <item m="1" x="1046"/>
        <item m="1" x="1159"/>
        <item m="1" x="3834"/>
        <item m="1" x="159"/>
        <item m="1" x="1344"/>
        <item m="1" x="3729"/>
        <item m="1" x="384"/>
        <item m="1" x="3894"/>
        <item m="1" x="3788"/>
        <item m="1" x="3841"/>
        <item m="1" x="4103"/>
        <item m="1" x="3079"/>
        <item m="1" x="1042"/>
        <item m="1" x="3461"/>
        <item m="1" x="1529"/>
        <item m="1" x="2955"/>
        <item m="1" x="625"/>
        <item m="1" x="656"/>
        <item m="1" x="1028"/>
        <item m="1" x="3319"/>
        <item m="1" x="3417"/>
        <item m="1" x="4137"/>
        <item m="1" x="3868"/>
        <item m="1" x="3297"/>
        <item m="1" x="1004"/>
        <item m="1" x="3146"/>
        <item m="1" x="1813"/>
        <item m="1" x="2139"/>
        <item m="1" x="203"/>
        <item m="1" x="3130"/>
        <item m="1" x="2289"/>
        <item m="1" x="1369"/>
        <item m="1" x="2364"/>
        <item m="1" x="2115"/>
        <item m="1" x="2290"/>
        <item m="1" x="3087"/>
        <item m="1" x="2521"/>
        <item m="1" x="3261"/>
        <item m="1" x="49"/>
        <item m="1" x="1027"/>
        <item m="1" x="2388"/>
        <item m="1" x="3100"/>
        <item m="1" x="595"/>
        <item m="1" x="4009"/>
        <item m="1" x="2681"/>
        <item m="1" x="2577"/>
        <item m="1" x="1223"/>
        <item m="1" x="2297"/>
        <item m="1" x="3892"/>
        <item m="1" x="647"/>
        <item m="1" x="3420"/>
        <item m="1" x="3062"/>
        <item m="1" x="2606"/>
        <item m="1" x="3694"/>
        <item m="1" x="2815"/>
        <item m="1" x="3635"/>
        <item m="1" x="2709"/>
        <item m="1" x="3506"/>
        <item m="1" x="2066"/>
        <item m="1" x="1886"/>
        <item m="1" x="2591"/>
        <item m="1" x="4109"/>
        <item m="1" x="3856"/>
        <item m="1" x="1053"/>
        <item m="1" x="4240"/>
        <item m="1" x="2829"/>
        <item m="1" x="4101"/>
        <item m="1" x="1341"/>
        <item m="1" x="3292"/>
        <item m="1" x="2669"/>
        <item m="1" x="1167"/>
        <item m="1" x="2897"/>
        <item m="1" x="1651"/>
        <item m="1" x="2726"/>
        <item m="1" x="3948"/>
        <item m="1" x="58"/>
        <item m="1" x="3194"/>
        <item m="1" x="1676"/>
        <item m="1" x="693"/>
        <item m="1" x="4179"/>
        <item m="1" x="96"/>
        <item m="1" x="1567"/>
        <item m="1" x="495"/>
        <item m="1" x="987"/>
        <item m="1" x="1229"/>
        <item m="1" x="2496"/>
        <item m="1" x="1389"/>
        <item m="1" x="1597"/>
        <item m="1" x="856"/>
        <item m="1" x="657"/>
        <item m="1" x="1280"/>
        <item m="1" x="521"/>
        <item m="1" x="2216"/>
        <item m="1" x="2155"/>
        <item m="1" x="4001"/>
        <item m="1" x="2251"/>
        <item m="1" x="198"/>
        <item m="1" x="451"/>
        <item m="1" x="1708"/>
        <item m="1" x="16"/>
        <item m="1" x="643"/>
        <item m="1" x="368"/>
        <item m="1" x="3060"/>
        <item m="1" x="3950"/>
        <item m="1" x="51"/>
        <item m="1" x="3901"/>
        <item m="1" x="673"/>
        <item m="1" x="3905"/>
        <item m="1" x="348"/>
        <item m="1" x="363"/>
        <item m="1" x="3504"/>
        <item m="1" x="2446"/>
        <item m="1" x="1746"/>
        <item m="1" x="2100"/>
        <item m="1" x="1699"/>
        <item m="1" x="2540"/>
        <item m="1" x="1767"/>
        <item m="1" x="2432"/>
        <item m="1" x="2312"/>
        <item m="1" x="91"/>
        <item m="1" x="2188"/>
        <item m="1" x="3772"/>
        <item m="1" x="2401"/>
        <item m="1" x="1598"/>
        <item m="1" x="1590"/>
        <item m="1" x="1630"/>
        <item m="1" x="2803"/>
        <item m="1" x="2535"/>
        <item m="1" x="300"/>
        <item m="1" x="530"/>
        <item m="1" x="1066"/>
        <item m="1" x="1049"/>
        <item m="1" x="2153"/>
        <item m="1" x="3902"/>
        <item m="1" x="742"/>
        <item m="1" x="2472"/>
        <item m="1" x="3174"/>
        <item m="1" x="1964"/>
        <item m="1" x="2451"/>
        <item m="1" x="2291"/>
        <item m="1" x="3904"/>
        <item m="1" x="1731"/>
        <item m="1" x="1121"/>
        <item m="1" x="2704"/>
        <item m="1" x="1340"/>
        <item m="1" x="2180"/>
        <item m="1" x="890"/>
        <item m="1" x="2073"/>
        <item m="1" x="3965"/>
        <item m="1" x="279"/>
        <item m="1" x="3882"/>
        <item m="1" x="2573"/>
        <item m="1" x="397"/>
        <item m="1" x="275"/>
        <item m="1" x="4259"/>
        <item m="1" x="2013"/>
        <item m="1" x="2790"/>
        <item m="1" x="23"/>
        <item m="1" x="3873"/>
        <item m="1" x="3317"/>
        <item m="1" x="2721"/>
        <item m="1" x="1818"/>
        <item m="1" x="2799"/>
        <item m="1" x="2793"/>
        <item m="1" x="354"/>
        <item m="1" x="1869"/>
        <item m="1" x="1580"/>
        <item m="1" x="3208"/>
        <item m="1" x="3472"/>
        <item m="1" x="541"/>
        <item m="1" x="667"/>
        <item m="1" x="1490"/>
        <item m="1" x="2129"/>
        <item m="1" x="759"/>
        <item m="1" x="2534"/>
        <item m="1" x="879"/>
        <item m="1" x="2190"/>
        <item m="1" x="650"/>
        <item m="1" x="1039"/>
        <item m="1" x="123"/>
        <item m="1" x="3678"/>
        <item m="1" x="1373"/>
        <item m="1" x="378"/>
        <item m="1" x="4300"/>
        <item m="1" x="922"/>
        <item m="1" x="978"/>
        <item m="1" x="3918"/>
        <item m="1" x="1916"/>
        <item m="1" x="1788"/>
        <item m="1" x="421"/>
        <item m="1" x="1679"/>
        <item m="1" x="1208"/>
        <item m="1" x="1469"/>
        <item m="1" x="1918"/>
        <item m="1" x="2936"/>
        <item m="1" x="2866"/>
        <item m="1" x="3509"/>
        <item m="1" x="3932"/>
        <item m="1" x="704"/>
        <item m="1" x="648"/>
        <item m="1" x="1920"/>
        <item m="1" x="833"/>
        <item m="1" x="20"/>
        <item m="1" x="512"/>
        <item m="1" x="3996"/>
        <item m="1" x="2527"/>
        <item m="1" x="1131"/>
        <item m="1" x="884"/>
        <item m="1" x="1969"/>
        <item m="1" x="17"/>
        <item m="1" x="1656"/>
        <item m="1" x="3991"/>
        <item m="1" x="2195"/>
        <item m="1" x="195"/>
        <item m="1" x="2791"/>
        <item m="1" x="2608"/>
        <item m="1" x="3012"/>
        <item m="1" x="2960"/>
        <item m="1" x="2749"/>
        <item m="1" x="2645"/>
        <item m="1" x="3068"/>
        <item m="1" x="37"/>
        <item m="1" x="2379"/>
        <item m="1" x="3298"/>
        <item m="1" x="2595"/>
        <item m="1" x="4087"/>
        <item m="1" x="3239"/>
        <item m="1" x="3287"/>
        <item m="1" x="618"/>
        <item m="1" x="2274"/>
        <item m="1" x="1017"/>
        <item m="1" x="1844"/>
        <item m="1" x="1003"/>
        <item m="1" x="1147"/>
        <item m="1" x="2148"/>
        <item m="1" x="910"/>
        <item m="1" x="3839"/>
        <item m="1" x="106"/>
        <item m="1" x="2484"/>
        <item m="1" x="3199"/>
        <item m="1" x="3410"/>
        <item m="1" x="1433"/>
        <item m="1" x="781"/>
        <item m="1" x="343"/>
        <item m="1" x="3312"/>
        <item m="1" x="1180"/>
        <item m="1" x="1103"/>
        <item m="1" x="586"/>
        <item m="1" x="999"/>
        <item m="1" x="385"/>
        <item m="1" x="185"/>
        <item m="1" x="1272"/>
        <item m="1" x="357"/>
        <item m="1" x="3391"/>
        <item m="1" x="2856"/>
        <item m="1" x="3818"/>
        <item m="1" x="2962"/>
        <item m="1" x="2677"/>
        <item m="1" x="3752"/>
        <item m="1" x="3951"/>
        <item m="1" x="4299"/>
        <item m="1" x="1259"/>
        <item m="1" x="3677"/>
        <item m="1" x="892"/>
        <item m="1" x="3878"/>
        <item m="1" x="501"/>
        <item m="1" x="923"/>
        <item m="1" x="3159"/>
        <item m="1" x="477"/>
        <item m="1" x="4269"/>
        <item m="1" x="1978"/>
        <item m="1" x="993"/>
        <item m="1" x="3148"/>
        <item m="1" x="1231"/>
        <item m="1" x="3150"/>
        <item m="1" x="383"/>
        <item m="1" x="288"/>
        <item m="1" x="763"/>
        <item m="1" x="1530"/>
        <item m="1" x="1069"/>
        <item m="1" x="4025"/>
        <item m="1" x="4115"/>
        <item m="1" x="2415"/>
        <item m="1" x="3449"/>
        <item m="1" x="891"/>
        <item m="1" x="1643"/>
        <item m="1" x="2302"/>
        <item m="1" x="1726"/>
        <item m="1" x="1929"/>
        <item m="1" x="1808"/>
        <item m="1" x="3590"/>
        <item m="1" x="3858"/>
        <item m="1" x="4139"/>
        <item m="1" x="2014"/>
        <item m="1" x="1262"/>
        <item m="1" x="3766"/>
        <item m="1" x="4006"/>
        <item m="1" x="1390"/>
        <item m="1" x="1956"/>
        <item m="1" x="2306"/>
        <item m="1" x="1110"/>
        <item m="1" x="322"/>
        <item m="1" x="4166"/>
        <item m="1" x="3690"/>
        <item m="1" x="2307"/>
        <item m="1" x="2585"/>
        <item m="1" x="1051"/>
        <item m="1" x="4178"/>
        <item m="1" x="1753"/>
        <item m="1" x="3144"/>
        <item m="1" x="412"/>
        <item m="1" x="4083"/>
        <item m="1" x="2322"/>
        <item m="1" x="3719"/>
        <item m="1" x="3142"/>
        <item m="1" x="3531"/>
        <item m="1" x="2616"/>
        <item m="1" x="3361"/>
        <item m="1" x="559"/>
        <item m="1" x="4088"/>
        <item m="1" x="2922"/>
        <item m="1" x="2821"/>
        <item m="1" x="1740"/>
        <item m="1" x="1579"/>
        <item m="1" x="1465"/>
        <item m="1" x="2916"/>
        <item m="1" x="878"/>
        <item m="1" x="3840"/>
        <item m="1" x="2743"/>
        <item m="1" x="1545"/>
        <item m="1" x="417"/>
        <item m="1" x="2639"/>
        <item m="1" x="880"/>
        <item m="1" x="90"/>
        <item m="1" x="1292"/>
        <item m="1" x="3573"/>
        <item m="1" x="3705"/>
        <item m="1" x="3269"/>
        <item m="1" x="873"/>
        <item m="1" x="1745"/>
        <item m="1" x="3445"/>
        <item m="1" x="1424"/>
        <item m="1" x="1237"/>
        <item m="1" x="2976"/>
        <item m="1" x="254"/>
        <item m="1" x="2051"/>
        <item m="1" x="1444"/>
        <item m="1" x="3180"/>
        <item m="1" x="1533"/>
        <item m="1" x="1436"/>
        <item m="1" x="745"/>
        <item m="1" x="35"/>
        <item m="1" x="1230"/>
        <item m="1" x="2090"/>
        <item m="1" x="1318"/>
        <item m="1" x="567"/>
        <item m="1" x="1006"/>
        <item m="1" x="1453"/>
        <item m="1" x="3024"/>
        <item m="1" x="3838"/>
        <item m="1" x="2720"/>
        <item m="1" x="1266"/>
        <item m="1" x="2206"/>
        <item m="1" x="41"/>
        <item m="1" x="1054"/>
        <item m="1" x="2719"/>
        <item m="1" x="4219"/>
        <item m="1" x="666"/>
        <item m="1" x="3357"/>
        <item m="1" x="3184"/>
        <item m="1" x="3890"/>
        <item m="1" x="2229"/>
        <item m="1" x="2999"/>
        <item m="1" x="707"/>
        <item m="1" x="2421"/>
        <item m="1" x="2892"/>
        <item m="1" x="914"/>
        <item m="1" x="150"/>
        <item m="1" x="2796"/>
        <item m="1" x="1263"/>
        <item m="1" x="2789"/>
        <item m="1" x="1463"/>
        <item m="1" x="3303"/>
        <item m="1" x="1900"/>
        <item m="1" x="961"/>
        <item m="1" x="14"/>
        <item m="1" x="779"/>
        <item m="1" x="3537"/>
        <item m="1" x="3430"/>
        <item m="1" x="727"/>
        <item m="1" x="4189"/>
        <item m="1" x="299"/>
        <item m="1" x="1727"/>
        <item m="1" x="3266"/>
        <item m="1" x="194"/>
        <item m="1" x="4273"/>
        <item m="1" x="4289"/>
        <item m="1" x="1084"/>
        <item m="1" x="3147"/>
        <item m="1" x="2682"/>
        <item m="1" x="3396"/>
        <item m="1" x="3471"/>
        <item m="1" x="1992"/>
        <item m="1" x="2771"/>
        <item m="1" x="1682"/>
        <item m="1" x="375"/>
        <item m="1" x="1925"/>
        <item m="1" x="3302"/>
        <item m="1" x="156"/>
        <item m="1" x="2561"/>
        <item m="1" x="94"/>
        <item m="1" x="3252"/>
        <item m="1" x="2413"/>
        <item m="1" x="3708"/>
        <item m="1" x="1621"/>
        <item m="1" x="3462"/>
        <item m="1" x="1021"/>
        <item m="1" x="3570"/>
        <item m="1" x="3640"/>
        <item m="1" x="1524"/>
        <item m="1" x="147"/>
        <item m="1" x="2487"/>
        <item m="1" x="3456"/>
        <item m="1" x="2469"/>
        <item m="1" x="1859"/>
        <item m="1" x="2545"/>
        <item m="1" x="2666"/>
        <item m="1" x="2489"/>
        <item m="1" x="1999"/>
        <item m="1" x="599"/>
        <item m="1" x="266"/>
        <item m="1" x="1098"/>
        <item m="1" x="3861"/>
        <item m="1" x="726"/>
        <item m="1" x="1825"/>
        <item m="1" x="1609"/>
        <item m="1" x="2975"/>
        <item m="1" x="3014"/>
        <item m="1" x="2424"/>
        <item m="1" x="3182"/>
        <item m="1" x="2651"/>
        <item m="1" x="3684"/>
        <item m="1" x="2979"/>
        <item m="1" x="307"/>
        <item m="1" x="668"/>
        <item m="1" x="4285"/>
        <item m="1" x="443"/>
        <item m="1" x="3153"/>
        <item m="1" x="1041"/>
        <item m="1" x="3022"/>
        <item m="1" x="141"/>
        <item m="1" x="1519"/>
        <item m="1" x="2067"/>
        <item m="1" x="4186"/>
        <item m="1" x="3222"/>
        <item m="1" x="3622"/>
        <item m="1" x="3245"/>
        <item m="1" x="2252"/>
        <item m="1" x="3645"/>
        <item m="1" x="3600"/>
        <item m="1" x="4068"/>
        <item m="1" x="1865"/>
        <item m="1" x="1002"/>
        <item m="1" x="3274"/>
        <item m="1" x="690"/>
        <item m="1" x="846"/>
        <item m="1" x="3284"/>
        <item m="1" x="1842"/>
        <item m="1" x="4059"/>
        <item m="1" x="1640"/>
        <item m="1" x="3829"/>
        <item m="1" x="1958"/>
        <item m="1" x="3101"/>
        <item m="1" x="4062"/>
        <item m="1" x="1553"/>
        <item m="1" x="1320"/>
        <item m="1" x="2611"/>
        <item m="1" x="200"/>
        <item m="1" x="3999"/>
        <item m="1" x="4142"/>
        <item m="1" x="1532"/>
        <item m="1" x="3498"/>
        <item m="1" x="2951"/>
        <item m="1" x="100"/>
        <item m="1" x="2370"/>
        <item m="1" x="3898"/>
        <item m="1" x="2894"/>
        <item m="1" x="980"/>
        <item m="1" x="3111"/>
        <item m="1" x="1629"/>
        <item m="1" x="3616"/>
        <item m="1" x="1893"/>
        <item m="1" x="3779"/>
        <item m="1" x="255"/>
        <item m="1" x="2858"/>
        <item m="1" x="1032"/>
        <item m="1" x="2768"/>
        <item m="1" x="791"/>
        <item m="1" x="4124"/>
        <item m="1" x="3316"/>
        <item m="1" x="3634"/>
        <item m="1" x="3421"/>
        <item m="1" x="2748"/>
        <item m="1" x="1906"/>
        <item m="1" x="3008"/>
        <item m="1" x="3131"/>
        <item m="1" x="1483"/>
        <item m="1" x="2118"/>
        <item m="1" x="610"/>
        <item m="1" x="788"/>
        <item m="1" x="459"/>
        <item m="1" x="8"/>
        <item m="1" x="3781"/>
        <item m="1" x="3169"/>
        <item m="1" x="3485"/>
        <item m="1" x="1683"/>
        <item m="1" x="2019"/>
        <item m="1" x="991"/>
        <item m="1" x="3927"/>
        <item m="1" x="683"/>
        <item m="1" x="473"/>
        <item m="1" x="1183"/>
        <item m="1" x="1047"/>
        <item m="1" x="2258"/>
        <item m="1" x="2549"/>
        <item m="1" x="2852"/>
        <item m="1" x="2780"/>
        <item m="1" x="1860"/>
        <item m="1" x="1595"/>
        <item m="1" x="1984"/>
        <item m="1" x="1115"/>
        <item m="1" x="645"/>
        <item m="1" x="2783"/>
        <item m="1" x="3078"/>
        <item m="1" x="705"/>
        <item m="1" x="2612"/>
        <item m="1" x="4233"/>
        <item m="1" x="983"/>
        <item m="1" x="2200"/>
        <item m="1" x="396"/>
        <item m="1" x="347"/>
        <item m="1" x="1022"/>
        <item m="1" x="3264"/>
        <item m="1" x="3397"/>
        <item m="1" x="2935"/>
        <item m="1" x="1100"/>
        <item m="1" x="2449"/>
        <item m="1" x="1914"/>
        <item m="1" x="652"/>
        <item m="1" x="3502"/>
        <item m="1" x="3041"/>
        <item m="1" x="3388"/>
        <item m="1" x="2204"/>
        <item m="1" x="3891"/>
        <item m="1" x="3273"/>
        <item m="1" x="3880"/>
        <item m="1" x="1305"/>
        <item m="1" x="3796"/>
        <item m="1" x="2683"/>
        <item m="1" x="3168"/>
        <item m="1" x="130"/>
        <item m="1" x="3011"/>
        <item m="1" x="1203"/>
        <item m="1" x="1227"/>
        <item m="1" x="2419"/>
        <item m="1" x="362"/>
        <item m="1" x="2587"/>
        <item m="1" x="1278"/>
        <item m="1" x="324"/>
        <item m="1" x="1026"/>
        <item m="1" x="2546"/>
        <item m="1" x="1405"/>
        <item m="1" x="3389"/>
        <item m="1" x="4002"/>
        <item m="1" x="679"/>
        <item m="1" x="1935"/>
        <item m="1" x="3669"/>
        <item m="1" x="71"/>
        <item m="1" x="2833"/>
        <item m="1" x="3648"/>
        <item m="1" x="1697"/>
        <item m="1" x="2058"/>
        <item m="1" x="2932"/>
        <item m="1" x="1145"/>
        <item m="1" x="4146"/>
        <item m="1" x="4257"/>
        <item m="1" x="2914"/>
        <item m="1" x="250"/>
        <item m="1" x="3658"/>
        <item m="1" x="4097"/>
        <item m="1" x="2552"/>
        <item m="1" x="1392"/>
        <item m="1" x="4038"/>
        <item m="1" x="4171"/>
        <item m="1" x="4058"/>
        <item m="1" x="81"/>
        <item m="1" x="1757"/>
        <item m="1" x="232"/>
        <item m="1" x="2088"/>
        <item m="1" x="3588"/>
        <item m="1" x="3496"/>
        <item m="1" x="55"/>
        <item m="1" x="4105"/>
        <item m="1" x="1274"/>
        <item m="1" x="1810"/>
        <item m="1" x="623"/>
        <item m="1" x="1486"/>
        <item m="1" x="903"/>
        <item m="1" x="3313"/>
        <item m="1" x="1312"/>
        <item m="1" x="3408"/>
        <item m="1" x="1755"/>
        <item m="1" x="3700"/>
        <item m="1" x="2156"/>
        <item m="1" x="1711"/>
        <item m="1" x="1086"/>
        <item m="1" x="1374"/>
        <item m="1" x="3121"/>
        <item m="1" x="1089"/>
        <item m="1" x="158"/>
        <item m="1" x="2660"/>
        <item m="1" x="3172"/>
        <item m="1" x="2101"/>
        <item m="1" x="2444"/>
        <item m="1" x="3933"/>
        <item m="1" x="1144"/>
        <item m="1" x="3095"/>
        <item m="1" x="2735"/>
        <item m="1" x="1393"/>
        <item m="1" x="2579"/>
        <item m="1" x="2605"/>
        <item m="1" x="2541"/>
        <item m="1" x="2381"/>
        <item m="1" x="2896"/>
        <item m="1" x="3567"/>
        <item m="1" x="2698"/>
        <item m="1" x="1603"/>
        <item m="1" x="3213"/>
        <item m="1" x="252"/>
        <item m="1" x="1747"/>
        <item m="1" x="3349"/>
        <item m="1" x="591"/>
        <item m="1" x="3696"/>
        <item m="1" x="3850"/>
        <item m="1" x="1510"/>
        <item m="1" x="463"/>
        <item m="1" x="235"/>
        <item m="1" x="2423"/>
        <item m="1" x="3112"/>
        <item m="1" x="2029"/>
        <item m="1" x="1531"/>
        <item m="1" x="1760"/>
        <item m="1" x="1694"/>
        <item m="1" x="3314"/>
        <item m="1" x="2855"/>
        <item m="1" x="3624"/>
        <item m="1" x="4034"/>
        <item m="1" x="774"/>
        <item m="1" x="186"/>
        <item m="1" x="3888"/>
        <item m="1" x="3970"/>
        <item m="1" x="4065"/>
        <item m="1" x="818"/>
        <item m="1" x="3464"/>
        <item m="1" x="2125"/>
        <item m="1" x="542"/>
        <item m="1" x="2755"/>
        <item m="1" x="291"/>
        <item m="1" x="2844"/>
        <item m="1" x="1515"/>
        <item m="1" x="2163"/>
        <item m="1" x="212"/>
        <item m="1" x="3704"/>
        <item m="1" x="1659"/>
        <item m="1" x="2102"/>
        <item m="1" x="2968"/>
        <item m="1" x="2842"/>
        <item m="1" x="2210"/>
        <item m="1" x="3807"/>
        <item m="1" x="4272"/>
        <item m="1" x="1273"/>
        <item m="1" x="1196"/>
        <item m="1" x="373"/>
        <item m="1" x="3827"/>
        <item m="1" x="997"/>
        <item m="1" x="1687"/>
        <item m="1" x="1396"/>
        <item m="1" x="2819"/>
        <item m="1" x="2990"/>
        <item m="1" x="2864"/>
        <item m="1" x="1412"/>
        <item m="1" x="3463"/>
        <item m="1" x="1309"/>
        <item m="1" x="604"/>
        <item m="1" x="3959"/>
        <item m="1" x="2504"/>
        <item m="1" x="959"/>
        <item m="1" x="1864"/>
        <item m="1" x="3203"/>
        <item m="1" x="2357"/>
        <item m="1" x="2303"/>
        <item m="1" x="283"/>
        <item m="1" x="2593"/>
        <item m="1" x="3138"/>
        <item m="1" x="3059"/>
        <item m="1" x="1585"/>
        <item m="1" x="1684"/>
        <item m="1" x="1850"/>
        <item m="1" x="815"/>
        <item m="1" x="2536"/>
        <item m="1" x="3620"/>
        <item m="1" x="3595"/>
        <item m="1" x="430"/>
        <item m="1" x="2607"/>
        <item m="1" x="1177"/>
        <item m="1" x="1881"/>
        <item m="1" x="2399"/>
        <item m="1" x="3657"/>
        <item m="1" x="4031"/>
        <item m="1" x="27"/>
        <item m="1" x="977"/>
        <item m="1" x="1493"/>
        <item m="1" x="3308"/>
        <item m="1" x="3118"/>
        <item m="1" x="4102"/>
        <item m="1" x="1416"/>
        <item m="1" x="3621"/>
        <item m="1" x="1710"/>
        <item m="1" x="1222"/>
        <item m="1" x="2286"/>
        <item m="1" x="3642"/>
        <item m="1" x="2927"/>
        <item m="1" x="2499"/>
        <item m="1" x="2518"/>
        <item m="1" x="2772"/>
        <item m="1" x="3495"/>
        <item m="1" x="263"/>
        <item m="1" x="3214"/>
        <item m="1" x="4154"/>
        <item m="1" x="937"/>
        <item m="1" x="2700"/>
        <item m="1" x="3628"/>
        <item m="1" x="2209"/>
        <item m="1" x="3123"/>
        <item m="1" x="2676"/>
        <item m="1" x="1830"/>
        <item m="1" x="4176"/>
        <item m="1" x="3977"/>
        <item m="1" x="2439"/>
        <item m="1" x="3322"/>
        <item m="1" x="104"/>
        <item m="1" x="1786"/>
        <item m="1" x="3993"/>
        <item m="1" x="1058"/>
        <item m="1" x="3170"/>
        <item m="1" x="2069"/>
        <item m="1" x="208"/>
        <item m="1" x="2827"/>
        <item m="1" x="83"/>
        <item m="1" x="972"/>
        <item m="1" x="1419"/>
        <item m="1" x="1293"/>
        <item m="1" x="1907"/>
        <item m="1" x="2644"/>
        <item m="1" x="1607"/>
        <item m="1" x="408"/>
        <item m="1" x="2349"/>
        <item m="1" x="444"/>
        <item m="1" x="3824"/>
        <item m="1" x="1317"/>
        <item m="1" x="3470"/>
        <item m="1" x="515"/>
        <item m="1" x="3236"/>
        <item m="1" x="2525"/>
        <item m="1" x="1954"/>
        <item m="1" x="3956"/>
        <item m="1" x="1635"/>
        <item m="1" x="1584"/>
        <item m="1" x="4180"/>
        <item m="1" x="3720"/>
        <item m="1" x="1297"/>
        <item m="1" x="3793"/>
        <item m="1" x="876"/>
        <item m="1" x="527"/>
        <item m="1" x="2630"/>
        <item m="1" x="3373"/>
        <item m="1" x="1895"/>
        <item m="1" x="3795"/>
        <item m="1" x="1366"/>
        <item m="1" x="1395"/>
        <item m="1" x="1987"/>
        <item m="1" x="3754"/>
        <item m="1" x="775"/>
        <item m="1" x="864"/>
        <item m="1" x="3009"/>
        <item m="1" x="1976"/>
        <item m="1" x="3745"/>
        <item m="1" x="272"/>
        <item m="1" x="1558"/>
        <item m="1" x="3909"/>
        <item m="1" x="2812"/>
        <item m="1" x="2264"/>
        <item m="1" x="3475"/>
        <item m="1" x="1073"/>
        <item m="1" x="4134"/>
        <item m="1" x="1957"/>
        <item m="1" x="882"/>
        <item m="1" x="2638"/>
        <item m="1" x="1070"/>
        <item m="1" x="114"/>
        <item m="1" x="3870"/>
        <item m="1" x="3114"/>
        <item m="1" x="2851"/>
        <item m="1" x="1401"/>
        <item m="1" x="956"/>
        <item m="1" x="4160"/>
        <item m="1" x="3668"/>
        <item m="1" x="2604"/>
        <item m="1" x="3223"/>
        <item m="1" x="3447"/>
        <item m="1" x="1288"/>
        <item m="1" x="2868"/>
        <item m="1" x="2186"/>
        <item m="1" x="2346"/>
        <item m="1" x="2448"/>
        <item m="1" x="843"/>
        <item m="1" x="3334"/>
        <item m="1" x="1934"/>
        <item m="1" x="326"/>
        <item m="1" x="4241"/>
        <item m="1" x="4030"/>
        <item m="1" x="4173"/>
        <item m="1" x="427"/>
        <item m="1" x="3783"/>
        <item m="1" x="3748"/>
        <item m="1" x="162"/>
        <item m="1" x="518"/>
        <item m="1" x="2483"/>
        <item m="1" x="3545"/>
        <item m="1" x="78"/>
        <item m="1" x="2501"/>
        <item m="1" x="3258"/>
        <item m="1" x="761"/>
        <item m="1" x="588"/>
        <item m="1" x="2900"/>
        <item m="1" x="4278"/>
        <item m="1" x="1345"/>
        <item m="1" x="4243"/>
        <item m="1" x="1652"/>
        <item m="1" x="3425"/>
        <item m="1" x="3790"/>
        <item m="1" x="3828"/>
        <item m="1" x="3652"/>
        <item m="1" x="2526"/>
        <item m="1" x="811"/>
        <item m="1" x="1367"/>
        <item m="1" x="4181"/>
        <item m="1" x="895"/>
        <item m="1" x="3992"/>
        <item m="1" x="963"/>
        <item m="1" x="1737"/>
        <item m="1" x="2242"/>
        <item m="1" x="4204"/>
        <item m="1" x="840"/>
        <item m="1" x="1224"/>
        <item m="1" x="310"/>
        <item m="1" x="2173"/>
        <item m="1" x="1902"/>
        <item m="1" x="752"/>
        <item m="1" x="548"/>
        <item m="1" x="2037"/>
        <item m="1" x="163"/>
        <item m="1" x="1155"/>
        <item m="1" x="2260"/>
        <item m="1" x="1678"/>
        <item m="1" x="3341"/>
        <item m="1" x="2265"/>
        <item m="1" x="3749"/>
        <item m="1" x="3958"/>
        <item m="1" x="812"/>
        <item m="1" x="206"/>
        <item m="1" x="2732"/>
        <item m="1" x="3137"/>
        <item m="1" x="2374"/>
        <item m="1" x="1428"/>
        <item m="1" x="2305"/>
        <item m="1" x="4254"/>
        <item m="1" x="1030"/>
        <item m="1" x="1102"/>
        <item m="1" x="1896"/>
        <item m="1" x="529"/>
        <item m="1" x="4263"/>
        <item m="1" x="2178"/>
        <item m="1" x="1218"/>
        <item m="1" x="47"/>
        <item m="1" x="2059"/>
        <item m="1" x="2376"/>
        <item m="1" x="1928"/>
        <item m="1" x="3566"/>
        <item m="1" x="3339"/>
        <item m="1" x="3073"/>
        <item m="1" x="2523"/>
        <item m="1" x="2834"/>
        <item m="1" x="1182"/>
        <item m="1" x="2287"/>
        <item m="1" x="4298"/>
        <item m="1" x="2107"/>
        <item m="1" x="3940"/>
        <item m="1" x="4028"/>
        <item m="1" x="2273"/>
        <item m="1" x="1514"/>
        <item m="1" x="4069"/>
        <item m="1" x="1376"/>
        <item m="1" x="3623"/>
        <item m="1" x="1206"/>
        <item m="1" x="2113"/>
        <item m="1" x="1517"/>
        <item m="1" x="2392"/>
        <item m="1" x="808"/>
        <item m="1" x="2559"/>
        <item m="1" x="379"/>
        <item m="1" x="2224"/>
        <item m="1" x="1826"/>
        <item m="1" x="1636"/>
        <item m="1" x="1685"/>
        <item m="1" x="3698"/>
        <item m="1" x="1578"/>
        <item m="1" x="3562"/>
        <item m="1" x="2174"/>
        <item m="1" x="3177"/>
        <item m="1" x="3505"/>
        <item m="1" x="3800"/>
        <item m="1" x="3056"/>
        <item m="1" x="762"/>
        <item m="1" x="3770"/>
        <item m="1" x="176"/>
        <item m="1" x="3010"/>
        <item m="1" x="464"/>
        <item m="1" x="2052"/>
        <item m="1" x="814"/>
        <item m="1" x="3771"/>
        <item m="1" x="1330"/>
        <item m="1" x="2665"/>
        <item m="1" x="1478"/>
        <item m="1" x="2196"/>
        <item m="1" x="2759"/>
        <item m="1" x="526"/>
        <item m="1" x="4284"/>
        <item m="1" x="1258"/>
        <item m="1" x="4132"/>
        <item m="1" x="3301"/>
        <item m="1" x="1518"/>
        <item m="1" x="951"/>
        <item m="1" x="68"/>
        <item m="1" x="290"/>
        <item m="1" x="4136"/>
        <item m="1" x="835"/>
        <item m="1" x="2537"/>
        <item m="1" x="4079"/>
        <item m="1" x="2149"/>
        <item m="1" x="2910"/>
        <item m="1" x="2804"/>
        <item m="1" x="1472"/>
        <item m="1" x="3660"/>
        <item m="1" x="2458"/>
        <item m="1" x="145"/>
        <item m="1" x="111"/>
        <item m="1" x="2649"/>
        <item m="1" x="894"/>
        <item m="1" x="3761"/>
        <item m="1" x="2836"/>
        <item m="1" x="738"/>
        <item m="1" x="2447"/>
        <item m="1" x="3402"/>
        <item m="1" x="3528"/>
        <item m="1" x="1665"/>
        <item m="1" x="3533"/>
        <item m="1" x="2984"/>
        <item m="1" x="1061"/>
        <item m="1" x="2582"/>
        <item m="1" x="2977"/>
        <item m="1" x="3185"/>
        <item m="1" x="4036"/>
        <item m="1" x="3419"/>
        <item m="1" x="4288"/>
        <item m="1" x="4099"/>
        <item m="1" x="1048"/>
        <item m="1" x="2077"/>
        <item m="1" x="2961"/>
        <item m="1" x="1704"/>
        <item m="1" x="1706"/>
        <item m="1" x="89"/>
        <item m="1" x="885"/>
        <item m="1" x="4064"/>
        <item m="1" x="108"/>
        <item m="1" x="2450"/>
        <item m="1" x="1887"/>
        <item m="1" x="2330"/>
        <item m="1" x="2668"/>
        <item m="1" x="3500"/>
        <item m="1" x="4042"/>
        <item m="1" x="4167"/>
        <item m="1" x="3853"/>
        <item m="1" x="60"/>
        <item m="1" x="268"/>
        <item m="1" x="1680"/>
        <item m="1" x="2507"/>
        <item m="1" x="1146"/>
        <item m="1" x="3757"/>
        <item m="1" x="4144"/>
        <item m="1" x="3442"/>
        <item m="1" x="1686"/>
        <item m="1" x="706"/>
        <item m="1" x="3759"/>
        <item m="1" x="3758"/>
        <item m="1" x="3989"/>
        <item m="1" x="516"/>
        <item m="1" x="3282"/>
        <item m="1" x="2878"/>
        <item m="1" x="97"/>
        <item m="1" x="189"/>
        <item m="1" x="3276"/>
        <item m="1" x="4073"/>
        <item m="1" x="1059"/>
        <item m="1" x="3538"/>
        <item m="1" x="1337"/>
        <item m="1" x="3230"/>
        <item m="1" x="2474"/>
        <item m="1" x="497"/>
        <item m="1" x="498"/>
        <item m="1" x="3803"/>
        <item m="1" x="128"/>
        <item m="1" x="2746"/>
        <item m="1" x="1327"/>
        <item m="1" x="3971"/>
        <item m="1" x="3983"/>
        <item m="1" x="1834"/>
        <item m="1" x="3211"/>
        <item m="1" x="1562"/>
        <item m="1" x="1152"/>
        <item m="1" x="1016"/>
        <item m="1" x="932"/>
        <item m="1" x="3143"/>
        <item m="1" x="528"/>
        <item m="1" x="2493"/>
        <item m="1" x="382"/>
        <item m="1" x="2309"/>
        <item m="1" x="2944"/>
        <item m="1" x="445"/>
        <item m="1" x="169"/>
        <item m="1" x="1438"/>
        <item m="1" x="4308"/>
        <item m="1" x="3348"/>
        <item m="1" x="2752"/>
        <item m="1" x="2634"/>
        <item m="1" x="2901"/>
        <item m="1" x="135"/>
        <item m="1" x="1325"/>
        <item m="1" x="2797"/>
        <item m="1" x="3699"/>
        <item m="1" x="1806"/>
        <item m="1" x="2317"/>
        <item m="1" x="1370"/>
        <item m="1" x="3231"/>
        <item m="1" x="3050"/>
        <item m="1" x="3338"/>
        <item m="1" x="3581"/>
        <item m="1" x="2082"/>
        <item m="1" x="664"/>
        <item m="1" x="4135"/>
        <item m="1" x="134"/>
        <item m="1" x="3601"/>
        <item m="1" x="3847"/>
        <item m="1" x="1132"/>
        <item m="1" x="3987"/>
        <item m="1" x="4203"/>
        <item m="1" x="3643"/>
        <item m="1" x="868"/>
        <item m="1" x="1161"/>
        <item m="1" x="2510"/>
        <item m="1" x="9"/>
        <item m="1" x="1619"/>
        <item m="1" x="2282"/>
        <item m="1" x="76"/>
        <item m="1" x="2516"/>
        <item m="1" x="825"/>
        <item m="1" x="713"/>
        <item m="1" x="1919"/>
        <item m="1" x="849"/>
        <item m="1" x="3693"/>
        <item m="1" x="3140"/>
        <item m="1" x="1677"/>
        <item m="1" x="39"/>
        <item m="1" x="1644"/>
        <item m="1" x="1921"/>
        <item m="1" x="2020"/>
        <item m="1" x="1329"/>
        <item m="1" x="439"/>
        <item m="1" x="1409"/>
        <item m="1" x="202"/>
        <item m="1" x="1924"/>
        <item m="1" x="1628"/>
        <item m="1" x="2133"/>
        <item m="1" x="1851"/>
        <item m="1" x="4039"/>
        <item m="1" x="4162"/>
        <item m="1" x="564"/>
        <item m="1" x="3084"/>
        <item m="1" x="3240"/>
        <item m="1" x="1207"/>
        <item m="1" x="1650"/>
        <item m="1" x="1721"/>
        <item m="1" x="3875"/>
        <item m="1" x="3997"/>
        <item m="1" x="2278"/>
        <item m="1" x="1220"/>
        <item m="1" x="298"/>
        <item m="1" x="3267"/>
        <item m="1" x="2338"/>
        <item m="1" x="1270"/>
        <item m="1" x="2329"/>
        <item m="1" x="3221"/>
        <item m="1" x="508"/>
        <item m="1" x="1693"/>
        <item m="1" x="1488"/>
        <item m="1" x="2105"/>
        <item m="1" x="2240"/>
        <item m="1" x="1481"/>
        <item m="1" x="4010"/>
        <item m="1" x="1527"/>
        <item m="1" x="1338"/>
        <item m="1" x="456"/>
        <item m="1" x="4292"/>
        <item m="1" x="2667"/>
        <item m="1" x="3099"/>
        <item m="1" x="2336"/>
        <item m="1" x="804"/>
        <item m="1" x="462"/>
        <item m="1" x="1484"/>
        <item m="1" x="1060"/>
        <item m="1" x="308"/>
        <item m="1" x="4119"/>
        <item m="1" x="580"/>
        <item m="1" x="1018"/>
        <item m="1" x="2457"/>
        <item m="1" x="2044"/>
        <item m="1" x="4287"/>
        <item m="1" x="3709"/>
        <item m="1" x="414"/>
        <item m="1" x="4005"/>
        <item m="1" x="2548"/>
        <item m="1" x="925"/>
        <item m="1" x="1552"/>
        <item m="1" x="1667"/>
        <item m="1" x="2038"/>
        <item m="1" x="635"/>
        <item m="1" x="199"/>
        <item m="1" x="778"/>
        <item m="1" x="3116"/>
        <item m="1" x="2964"/>
        <item m="1" x="2103"/>
        <item m="1" x="2294"/>
        <item m="1" x="702"/>
        <item m="1" x="1055"/>
        <item m="1" x="2430"/>
        <item m="1" x="718"/>
        <item m="1" x="2702"/>
        <item m="1" x="1276"/>
        <item m="1" x="3651"/>
        <item m="1" x="782"/>
        <item m="1" x="1617"/>
        <item m="1" x="478"/>
        <item m="1" x="3440"/>
        <item m="1" x="971"/>
        <item m="1" x="1099"/>
        <item m="1" x="1421"/>
        <item m="1" x="3972"/>
        <item m="1" x="2352"/>
        <item m="1" x="3881"/>
        <item m="1" x="165"/>
        <item m="1" x="3732"/>
        <item m="1" x="3995"/>
        <item m="1" x="3785"/>
        <item m="1" x="264"/>
        <item m="1" x="1471"/>
        <item m="1" x="1947"/>
        <item m="1" x="837"/>
        <item m="1" x="1290"/>
        <item m="1" x="3277"/>
        <item m="1" x="2459"/>
        <item m="1" x="4304"/>
        <item m="1" x="2257"/>
        <item m="1" x="551"/>
        <item m="1" x="4075"/>
        <item m="1" x="2356"/>
        <item m="1" x="1461"/>
        <item m="1" x="2583"/>
        <item m="1" x="1827"/>
        <item m="1" x="223"/>
        <item m="1" x="1035"/>
        <item m="1" x="823"/>
        <item m="1" x="4164"/>
        <item m="1" x="2152"/>
        <item m="1" x="63"/>
        <item m="1" x="1359"/>
        <item m="1" x="4187"/>
        <item m="1" x="2988"/>
        <item m="1" x="1695"/>
        <item m="1" x="741"/>
        <item m="1" x="663"/>
        <item m="1" x="2588"/>
        <item m="1" x="1037"/>
        <item m="1" x="855"/>
        <item m="1" x="4182"/>
        <item m="1" x="2368"/>
        <item m="1" x="4158"/>
        <item m="1" x="1965"/>
        <item m="1" x="1571"/>
        <item m="1" x="1355"/>
        <item m="1" x="3023"/>
        <item m="1" x="3507"/>
        <item m="1" x="2284"/>
        <item m="1" x="3706"/>
        <item m="1" x="18"/>
        <item m="1" x="4301"/>
        <item m="1" x="107"/>
        <item m="1" x="1228"/>
        <item m="1" x="1275"/>
        <item m="1" x="4048"/>
        <item m="1" x="3763"/>
        <item m="1" x="3377"/>
        <item m="1" x="4260"/>
        <item m="1" x="2091"/>
        <item m="1" x="3655"/>
        <item m="1" x="2970"/>
        <item m="1" x="2675"/>
        <item m="1" x="2335"/>
        <item m="1" x="592"/>
        <item m="1" x="1744"/>
        <item m="1" x="543"/>
        <item m="1" x="2820"/>
        <item m="1" x="2248"/>
        <item m="1" x="3919"/>
        <item m="1" x="507"/>
        <item m="1" x="2739"/>
        <item m="1" x="2642"/>
        <item m="1" x="578"/>
        <item m="1" x="289"/>
        <item m="1" x="550"/>
        <item m="1" x="4072"/>
        <item m="1" x="831"/>
        <item m="1" x="883"/>
        <item m="1" x="3286"/>
        <item m="1" x="1157"/>
        <item m="1" x="552"/>
        <item m="1" x="1624"/>
        <item m="1" x="3943"/>
        <item m="1" x="2108"/>
        <item m="1" x="1399"/>
        <item m="1" x="2409"/>
        <item m="1" x="1849"/>
        <item m="1" x="709"/>
        <item m="1" x="3243"/>
        <item m="1" x="3260"/>
        <item m="1" x="756"/>
        <item m="1" x="184"/>
        <item m="1" x="3065"/>
        <item m="1" x="3548"/>
        <item m="1" x="4200"/>
        <item m="1" x="2773"/>
        <item m="1" x="3300"/>
        <item m="1" x="3618"/>
        <item m="1" x="3353"/>
        <item m="1" x="3585"/>
        <item m="1" x="984"/>
        <item m="1" x="3171"/>
        <item m="1" x="2924"/>
        <item m="1" x="2658"/>
        <item m="1" x="392"/>
        <item m="1" x="2992"/>
        <item m="1" x="2085"/>
        <item m="1" x="3610"/>
        <item m="1" x="3275"/>
        <item m="1" x="1173"/>
        <item m="1" x="503"/>
        <item m="1" x="2764"/>
        <item m="1" x="3179"/>
        <item m="1" x="2337"/>
        <item m="1" x="4214"/>
        <item m="1" x="3516"/>
        <item m="1" x="1782"/>
        <item m="1" x="2987"/>
        <item m="1" x="2809"/>
        <item m="1" x="787"/>
        <item m="1" x="3453"/>
        <item m="1" x="2465"/>
        <item m="1" x="2175"/>
        <item m="1" x="2127"/>
        <item m="1" x="3692"/>
        <item m="1" x="1725"/>
        <item m="1" x="2165"/>
        <item m="1" x="531"/>
        <item m="1" x="2141"/>
        <item m="1" x="1536"/>
        <item m="1" x="3113"/>
        <item m="1" x="281"/>
        <item m="1" x="2024"/>
        <item m="1" x="2529"/>
        <item m="1" x="1113"/>
        <item m="1" x="1991"/>
        <item m="1" x="2825"/>
        <item m="1" x="549"/>
        <item m="1" x="3664"/>
        <item m="1" x="3393"/>
        <item m="1" x="2300"/>
        <item m="1" x="2492"/>
        <item m="1" x="803"/>
        <item m="1" x="1793"/>
        <item m="1" x="3555"/>
        <item m="1" x="1383"/>
        <item m="1" x="601"/>
        <item m="1" x="3817"/>
        <item m="1" x="3804"/>
        <item m="1" x="687"/>
        <item m="1" x="2718"/>
        <item m="1" x="4197"/>
        <item m="1" x="214"/>
        <item m="1" x="2633"/>
        <item m="1" x="2078"/>
        <item m="1" x="4081"/>
        <item m="1" x="596"/>
        <item m="1" x="3265"/>
        <item m="1" x="2275"/>
        <item m="1" x="2699"/>
        <item m="1" x="642"/>
        <item m="1" x="2245"/>
        <item m="1" x="491"/>
        <item m="1" x="2926"/>
        <item m="1" x="1583"/>
        <item m="1" x="4256"/>
        <item m="1" x="276"/>
        <item m="1" x="3362"/>
        <item m="1" x="3727"/>
        <item m="1" x="1664"/>
        <item m="1" x="1548"/>
        <item m="1" x="4253"/>
        <item m="1" x="2769"/>
        <item m="1" x="2846"/>
        <item m="1" x="1143"/>
        <item m="1" x="1181"/>
        <item m="1" x="1785"/>
        <item m="1" x="110"/>
        <item m="1" x="524"/>
        <item m="1" x="4108"/>
        <item m="1" x="1195"/>
        <item m="1" x="3076"/>
        <item m="1" x="2867"/>
        <item m="1" x="4170"/>
        <item m="1" x="2969"/>
        <item m="1" x="1931"/>
        <item m="1" x="389"/>
        <item m="1" x="1713"/>
        <item m="1" x="3405"/>
        <item m="1" x="970"/>
        <item m="1" x="2464"/>
        <item m="1" x="945"/>
        <item m="1" x="3780"/>
        <item m="1" x="1819"/>
        <item m="1" x="952"/>
        <item m="1" x="4094"/>
        <item m="1" x="2592"/>
        <item m="1" x="19"/>
        <item m="1" x="365"/>
        <item m="1" x="3680"/>
        <item m="1" x="514"/>
        <item m="1" x="3294"/>
        <item m="1" x="4045"/>
        <item m="1" x="2982"/>
        <item m="1" x="2232"/>
        <item m="1" x="2202"/>
        <item m="1" x="1807"/>
        <item m="1" x="569"/>
        <item m="1" x="3394"/>
        <item m="1" x="3478"/>
        <item m="1" x="1698"/>
        <item m="1" x="119"/>
        <item m="1" x="1960"/>
        <item m="1" x="3541"/>
        <item m="1" x="3067"/>
        <item m="1" x="3448"/>
        <item m="1" x="3423"/>
        <item m="1" x="1812"/>
        <item m="1" x="3106"/>
        <item m="1" x="3702"/>
        <item m="1" x="3893"/>
        <item m="1" x="3798"/>
        <item m="1" x="3392"/>
        <item m="1" x="2811"/>
        <item x="0"/>
        <item x="1"/>
        <item x="2"/>
        <item x="3"/>
        <item x="5"/>
        <item x="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0"/>
    <field x="2"/>
  </rowFields>
  <rowItems count="1">
    <i t="grand">
      <x/>
    </i>
  </rowItems>
  <colFields count="1">
    <field x="-2"/>
  </colFields>
  <colItems count="2">
    <i>
      <x/>
    </i>
    <i i="1">
      <x v="1"/>
    </i>
  </colItems>
  <dataFields count="2">
    <dataField name="Capacity  " fld="8" baseField="0" baseItem="0"/>
    <dataField name="Occupancy  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1000000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80">
  <location ref="A3:C4" firstHeaderRow="0" firstDataRow="1" firstDataCol="1"/>
  <pivotFields count="9">
    <pivotField axis="axisRow" showAll="0" sortType="descending" defaultSubtotal="0">
      <items count="25">
        <item n="WH No 02" h="1" m="1" x="17"/>
        <item n="Second WH " h="1" m="1" x="23"/>
        <item h="1" m="1" x="24"/>
        <item n="Main WH" m="1" x="11"/>
        <item h="1" m="1" x="18"/>
        <item h="1" m="1" x="12"/>
        <item h="1" m="1" x="9"/>
        <item n="Chemical WH" m="1" x="21"/>
        <item h="1" m="1" x="20"/>
        <item h="1" x="7"/>
        <item h="1" m="1" x="19"/>
        <item h="1" m="1" x="22"/>
        <item h="1" m="1" x="10"/>
        <item h="1" m="1" x="8"/>
        <item h="1" x="0"/>
        <item h="1" x="2"/>
        <item h="1" x="6"/>
        <item h="1" m="1" x="13"/>
        <item h="1" x="3"/>
        <item h="1" m="1" x="15"/>
        <item h="1" m="1" x="14"/>
        <item h="1" x="4"/>
        <item h="1" x="5"/>
        <item h="1" m="1" x="16"/>
        <item h="1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4" showAll="0" defaultSubtotal="0"/>
    <pivotField axis="axisRow" numFmtId="9" showAll="0" sortType="descending" defaultSubtotal="0">
      <items count="4216">
        <item x="6"/>
        <item m="1" x="3223"/>
        <item m="1" x="65"/>
        <item m="1" x="384"/>
        <item m="1" x="676"/>
        <item m="1" x="1436"/>
        <item m="1" x="1500"/>
        <item m="1" x="1458"/>
        <item m="1" x="154"/>
        <item m="1" x="1449"/>
        <item m="1" x="3180"/>
        <item m="1" x="846"/>
        <item m="1" x="131"/>
        <item m="1" x="168"/>
        <item m="1" x="3776"/>
        <item m="1" x="2696"/>
        <item m="1" x="3607"/>
        <item m="1" x="372"/>
        <item m="1" x="252"/>
        <item m="1" x="99"/>
        <item m="1" x="467"/>
        <item m="1" x="1180"/>
        <item m="1" x="2016"/>
        <item m="1" x="2587"/>
        <item m="1" x="1360"/>
        <item m="1" x="1884"/>
        <item m="1" x="706"/>
        <item m="1" x="2116"/>
        <item m="1" x="785"/>
        <item m="1" x="2640"/>
        <item m="1" x="821"/>
        <item m="1" x="1379"/>
        <item m="1" x="1308"/>
        <item m="1" x="2573"/>
        <item m="1" x="1608"/>
        <item m="1" x="911"/>
        <item m="1" x="1679"/>
        <item m="1" x="1342"/>
        <item m="1" x="3576"/>
        <item m="1" x="1625"/>
        <item m="1" x="2133"/>
        <item m="1" x="3195"/>
        <item m="1" x="3735"/>
        <item m="1" x="1552"/>
        <item m="1" x="1684"/>
        <item m="1" x="2218"/>
        <item m="1" x="1065"/>
        <item m="1" x="1566"/>
        <item m="1" x="678"/>
        <item m="1" x="4164"/>
        <item m="1" x="3515"/>
        <item m="1" x="2085"/>
        <item m="1" x="2424"/>
        <item m="1" x="3224"/>
        <item m="1" x="3510"/>
        <item m="1" x="1063"/>
        <item m="1" x="2745"/>
        <item m="1" x="3838"/>
        <item m="1" x="2374"/>
        <item m="1" x="2245"/>
        <item m="1" x="3290"/>
        <item m="1" x="1799"/>
        <item m="1" x="1328"/>
        <item m="1" x="1508"/>
        <item m="1" x="3679"/>
        <item m="1" x="3284"/>
        <item m="1" x="932"/>
        <item m="1" x="4125"/>
        <item m="1" x="266"/>
        <item m="1" x="3009"/>
        <item m="1" x="2637"/>
        <item m="1" x="4036"/>
        <item m="1" x="175"/>
        <item m="1" x="1894"/>
        <item m="1" x="2287"/>
        <item m="1" x="3935"/>
        <item m="1" x="253"/>
        <item m="1" x="2435"/>
        <item m="1" x="66"/>
        <item m="1" x="3037"/>
        <item m="1" x="2078"/>
        <item m="1" x="2788"/>
        <item m="1" x="1956"/>
        <item m="1" x="3986"/>
        <item m="1" x="3846"/>
        <item m="1" x="56"/>
        <item m="1" x="3073"/>
        <item m="1" x="1560"/>
        <item m="1" x="2832"/>
        <item m="1" x="2452"/>
        <item m="1" x="1159"/>
        <item m="1" x="3237"/>
        <item m="1" x="2814"/>
        <item m="1" x="2983"/>
        <item m="1" x="998"/>
        <item m="1" x="2806"/>
        <item m="1" x="187"/>
        <item m="1" x="1336"/>
        <item m="1" x="3041"/>
        <item m="1" x="1518"/>
        <item m="1" x="3842"/>
        <item m="1" x="316"/>
        <item m="1" x="452"/>
        <item m="1" x="1202"/>
        <item m="1" x="429"/>
        <item m="1" x="2957"/>
        <item m="1" x="2181"/>
        <item m="1" x="3683"/>
        <item m="1" x="1545"/>
        <item m="1" x="2113"/>
        <item m="1" x="1816"/>
        <item m="1" x="3524"/>
        <item m="1" x="2769"/>
        <item m="1" x="4173"/>
        <item m="1" x="3200"/>
        <item m="1" x="751"/>
        <item m="1" x="10"/>
        <item m="1" x="580"/>
        <item m="1" x="3408"/>
        <item m="1" x="3677"/>
        <item m="1" x="209"/>
        <item m="1" x="887"/>
        <item m="1" x="1260"/>
        <item m="1" x="4122"/>
        <item m="1" x="2560"/>
        <item m="1" x="838"/>
        <item m="1" x="3371"/>
        <item m="1" x="3462"/>
        <item m="1" x="118"/>
        <item m="1" x="1993"/>
        <item m="1" x="1367"/>
        <item m="1" x="3330"/>
        <item m="1" x="3812"/>
        <item m="1" x="3251"/>
        <item m="1" x="658"/>
        <item m="1" x="1476"/>
        <item m="1" x="845"/>
        <item m="1" x="930"/>
        <item m="1" x="773"/>
        <item m="1" x="4019"/>
        <item m="1" x="2415"/>
        <item m="1" x="3125"/>
        <item m="1" x="1254"/>
        <item m="1" x="2170"/>
        <item m="1" x="582"/>
        <item m="1" x="2963"/>
        <item m="1" x="4017"/>
        <item m="1" x="3944"/>
        <item m="1" x="3873"/>
        <item m="1" x="3275"/>
        <item m="1" x="1044"/>
        <item m="1" x="2611"/>
        <item m="1" x="534"/>
        <item m="1" x="2371"/>
        <item m="1" x="1996"/>
        <item m="1" x="1720"/>
        <item m="1" x="344"/>
        <item m="1" x="1370"/>
        <item m="1" x="4182"/>
        <item m="1" x="1852"/>
        <item m="1" x="927"/>
        <item m="1" x="2816"/>
        <item m="1" x="4040"/>
        <item m="1" x="2944"/>
        <item m="1" x="201"/>
        <item m="1" x="752"/>
        <item m="1" x="3056"/>
        <item m="1" x="3923"/>
        <item m="1" x="542"/>
        <item m="1" x="2346"/>
        <item m="1" x="240"/>
        <item m="1" x="423"/>
        <item m="1" x="1480"/>
        <item m="1" x="3194"/>
        <item m="1" x="2047"/>
        <item m="1" x="305"/>
        <item m="1" x="1926"/>
        <item m="1" x="111"/>
        <item m="1" x="2013"/>
        <item m="1" x="2609"/>
        <item m="1" x="275"/>
        <item m="1" x="553"/>
        <item m="1" x="3475"/>
        <item m="1" x="1416"/>
        <item m="1" x="64"/>
        <item m="1" x="2144"/>
        <item m="1" x="3198"/>
        <item m="1" x="1544"/>
        <item m="1" x="1634"/>
        <item m="1" x="216"/>
        <item m="1" x="242"/>
        <item m="1" x="184"/>
        <item m="1" x="434"/>
        <item m="1" x="1559"/>
        <item m="1" x="1385"/>
        <item m="1" x="4119"/>
        <item m="1" x="1010"/>
        <item m="1" x="2768"/>
        <item m="1" x="143"/>
        <item m="1" x="4128"/>
        <item m="1" x="2379"/>
        <item m="1" x="3261"/>
        <item m="1" x="3113"/>
        <item m="1" x="1513"/>
        <item m="1" x="2282"/>
        <item m="1" x="3630"/>
        <item m="1" x="1453"/>
        <item m="1" x="1307"/>
        <item m="1" x="3660"/>
        <item m="1" x="2212"/>
        <item m="1" x="1405"/>
        <item m="1" x="1568"/>
        <item m="1" x="1757"/>
        <item m="1" x="1020"/>
        <item m="1" x="2187"/>
        <item m="1" x="2641"/>
        <item m="1" x="2945"/>
        <item m="1" x="2950"/>
        <item m="1" x="1699"/>
        <item m="1" x="3287"/>
        <item m="1" x="2985"/>
        <item m="1" x="391"/>
        <item m="1" x="3031"/>
        <item m="1" x="4089"/>
        <item m="1" x="2704"/>
        <item m="1" x="2279"/>
        <item m="1" x="469"/>
        <item m="1" x="506"/>
        <item m="1" x="2091"/>
        <item m="1" x="396"/>
        <item m="1" x="3487"/>
        <item m="1" x="479"/>
        <item m="1" x="2915"/>
        <item m="1" x="167"/>
        <item m="1" x="4124"/>
        <item m="1" x="674"/>
        <item m="1" x="3466"/>
        <item m="1" x="2942"/>
        <item m="1" x="914"/>
        <item m="1" x="3664"/>
        <item m="1" x="2325"/>
        <item m="1" x="3304"/>
        <item m="1" x="3243"/>
        <item m="1" x="2118"/>
        <item m="1" x="2648"/>
        <item m="1" x="1349"/>
        <item m="1" x="3460"/>
        <item m="1" x="4046"/>
        <item m="1" x="2434"/>
        <item m="1" x="326"/>
        <item m="1" x="1947"/>
        <item m="1" x="333"/>
        <item m="1" x="3299"/>
        <item m="1" x="1955"/>
        <item m="1" x="2335"/>
        <item m="1" x="4169"/>
        <item m="1" x="1435"/>
        <item m="1" x="417"/>
        <item m="1" x="1551"/>
        <item m="1" x="1961"/>
        <item m="1" x="53"/>
        <item m="1" x="2483"/>
        <item m="1" x="2567"/>
        <item m="1" x="2971"/>
        <item m="1" x="986"/>
        <item m="1" x="23"/>
        <item m="1" x="3269"/>
        <item m="1" x="1041"/>
        <item m="1" x="2249"/>
        <item m="1" x="723"/>
        <item m="1" x="2414"/>
        <item m="1" x="2084"/>
        <item m="1" x="1252"/>
        <item m="1" x="3953"/>
        <item m="1" x="199"/>
        <item m="1" x="3473"/>
        <item m="1" x="3169"/>
        <item m="1" x="1790"/>
        <item m="1" x="2258"/>
        <item m="1" x="123"/>
        <item m="1" x="3374"/>
        <item m="1" x="1262"/>
        <item m="1" x="3955"/>
        <item m="1" x="1889"/>
        <item m="1" x="1276"/>
        <item m="1" x="2461"/>
        <item m="1" x="4115"/>
        <item m="1" x="2045"/>
        <item m="1" x="1187"/>
        <item m="1" x="2059"/>
        <item m="1" x="1716"/>
        <item m="1" x="415"/>
        <item m="1" x="3918"/>
        <item m="1" x="1831"/>
        <item m="1" x="1362"/>
        <item m="1" x="2829"/>
        <item m="1" x="2117"/>
        <item m="1" x="3762"/>
        <item m="1" x="3119"/>
        <item m="1" x="2012"/>
        <item m="1" x="371"/>
        <item m="1" x="2099"/>
        <item m="1" x="3821"/>
        <item m="1" x="239"/>
        <item m="1" x="1350"/>
        <item m="1" x="1937"/>
        <item m="1" x="1543"/>
        <item m="1" x="3470"/>
        <item m="1" x="603"/>
        <item m="1" x="898"/>
        <item m="1" x="2511"/>
        <item m="1" x="1535"/>
        <item m="1" x="3529"/>
        <item m="1" x="1397"/>
        <item m="1" x="680"/>
        <item m="1" x="1950"/>
        <item m="1" x="1521"/>
        <item m="1" x="4066"/>
        <item m="1" x="3168"/>
        <item m="1" x="536"/>
        <item m="1" x="1014"/>
        <item m="1" x="1163"/>
        <item m="1" x="338"/>
        <item m="1" x="1164"/>
        <item m="1" x="810"/>
        <item m="1" x="390"/>
        <item m="1" x="69"/>
        <item m="1" x="3267"/>
        <item m="1" x="2987"/>
        <item m="1" x="3207"/>
        <item m="1" x="1193"/>
        <item m="1" x="806"/>
        <item m="1" x="3057"/>
        <item m="1" x="2373"/>
        <item m="1" x="1413"/>
        <item m="1" x="1920"/>
        <item m="1" x="3282"/>
        <item m="1" x="3396"/>
        <item m="1" x="1485"/>
        <item m="1" x="3293"/>
        <item m="1" x="3138"/>
        <item m="1" x="2167"/>
        <item m="1" x="3277"/>
        <item m="1" x="2835"/>
        <item m="1" x="4177"/>
        <item m="1" x="598"/>
        <item m="1" x="4140"/>
        <item m="1" x="3675"/>
        <item m="1" x="3736"/>
        <item m="1" x="1689"/>
        <item m="1" x="1070"/>
        <item m="1" x="597"/>
        <item m="1" x="2633"/>
        <item m="1" x="2905"/>
        <item m="1" x="1731"/>
        <item m="1" x="1411"/>
        <item m="1" x="2711"/>
        <item m="1" x="3323"/>
        <item m="1" x="3241"/>
        <item m="1" x="1404"/>
        <item m="1" x="2938"/>
        <item m="1" x="1447"/>
        <item m="1" x="1001"/>
        <item m="1" x="779"/>
        <item m="1" x="594"/>
        <item m="1" x="2369"/>
        <item m="1" x="1098"/>
        <item m="1" x="309"/>
        <item m="1" x="3397"/>
        <item m="1" x="3308"/>
        <item m="1" x="2827"/>
        <item m="1" x="3016"/>
        <item m="1" x="3593"/>
        <item m="1" x="2310"/>
        <item m="1" x="1161"/>
        <item m="1" x="1710"/>
        <item m="1" x="4180"/>
        <item m="1" x="3472"/>
        <item m="1" x="795"/>
        <item m="1" x="984"/>
        <item m="1" x="1921"/>
        <item m="1" x="3101"/>
        <item m="1" x="2578"/>
        <item m="1" x="3162"/>
        <item m="1" x="4148"/>
        <item m="1" x="1632"/>
        <item m="1" x="2105"/>
        <item m="1" x="1067"/>
        <item m="1" x="519"/>
        <item m="1" x="2584"/>
        <item m="1" x="3354"/>
        <item m="1" x="1571"/>
        <item m="1" x="1998"/>
        <item m="1" x="1088"/>
        <item m="1" x="579"/>
        <item m="1" x="3804"/>
        <item m="1" x="2646"/>
        <item m="1" x="1990"/>
        <item m="1" x="2929"/>
        <item m="1" x="2600"/>
        <item m="1" x="1970"/>
        <item m="1" x="1364"/>
        <item m="1" x="3391"/>
        <item m="1" x="4084"/>
        <item m="1" x="3960"/>
        <item m="1" x="1215"/>
        <item m="1" x="2899"/>
        <item m="1" x="578"/>
        <item m="1" x="379"/>
        <item m="1" x="2073"/>
        <item m="1" x="3701"/>
        <item m="1" x="2586"/>
        <item m="1" x="774"/>
        <item m="1" x="3406"/>
        <item m="1" x="4093"/>
        <item m="1" x="3662"/>
        <item m="1" x="2265"/>
        <item m="1" x="1332"/>
        <item m="1" x="3122"/>
        <item m="1" x="3083"/>
        <item m="1" x="802"/>
        <item m="1" x="1628"/>
        <item m="1" x="3151"/>
        <item m="1" x="4072"/>
        <item m="1" x="1558"/>
        <item m="1" x="1570"/>
        <item m="1" x="1327"/>
        <item m="1" x="1039"/>
        <item m="1" x="4203"/>
        <item m="1" x="3344"/>
        <item m="1" x="24"/>
        <item m="1" x="3429"/>
        <item m="1" x="2864"/>
        <item m="1" x="1314"/>
        <item m="1" x="1734"/>
        <item m="1" x="1423"/>
        <item m="1" x="287"/>
        <item m="1" x="2909"/>
        <item m="1" x="313"/>
        <item m="1" x="1194"/>
        <item m="1" x="532"/>
        <item m="1" x="1223"/>
        <item m="1" x="1540"/>
        <item m="1" x="2551"/>
        <item m="1" x="1038"/>
        <item m="1" x="2213"/>
        <item m="1" x="491"/>
        <item m="1" x="822"/>
        <item m="1" x="26"/>
        <item m="1" x="78"/>
        <item m="1" x="1858"/>
        <item m="1" x="3197"/>
        <item m="1" x="3690"/>
        <item m="1" x="776"/>
        <item m="1" x="4032"/>
        <item m="1" x="340"/>
        <item m="1" x="3860"/>
        <item m="1" x="2294"/>
        <item m="1" x="1228"/>
        <item m="1" x="2284"/>
        <item m="1" x="1546"/>
        <item m="1" x="3417"/>
        <item m="1" x="192"/>
        <item m="1" x="1286"/>
        <item m="1" x="3763"/>
        <item m="1" x="1768"/>
        <item m="1" x="407"/>
        <item m="1" x="1952"/>
        <item m="1" x="715"/>
        <item m="1" x="1392"/>
        <item m="1" x="3622"/>
        <item m="1" x="2804"/>
        <item m="1" x="1108"/>
        <item m="1" x="3592"/>
        <item m="1" x="2422"/>
        <item m="1" x="3620"/>
        <item m="1" x="3014"/>
        <item m="1" x="831"/>
        <item m="1" x="1614"/>
        <item m="1" x="121"/>
        <item m="1" x="2057"/>
        <item m="1" x="3387"/>
        <item m="1" x="2666"/>
        <item m="1" x="762"/>
        <item m="1" x="1045"/>
        <item m="1" x="3336"/>
        <item m="1" x="3383"/>
        <item m="1" x="4117"/>
        <item m="1" x="2695"/>
        <item m="1" x="866"/>
        <item m="1" x="1830"/>
        <item m="1" x="370"/>
        <item m="1" x="45"/>
        <item m="1" x="1210"/>
        <item m="1" x="3015"/>
        <item m="1" x="1409"/>
        <item m="1" x="2083"/>
        <item m="1" x="1692"/>
        <item m="1" x="2204"/>
        <item m="1" x="3268"/>
        <item m="1" x="2202"/>
        <item m="1" x="2527"/>
        <item m="1" x="768"/>
        <item m="1" x="3164"/>
        <item m="1" x="3227"/>
        <item m="1" x="2782"/>
        <item m="1" x="97"/>
        <item m="1" x="4112"/>
        <item m="1" x="2093"/>
        <item m="1" x="2051"/>
        <item m="1" x="3921"/>
        <item m="1" x="2469"/>
        <item m="1" x="1866"/>
        <item m="1" x="264"/>
        <item m="1" x="4127"/>
        <item m="1" x="4028"/>
        <item m="1" x="605"/>
        <item m="1" x="1301"/>
        <item m="1" x="103"/>
        <item m="1" x="2166"/>
        <item m="1" x="1787"/>
        <item m="1" x="2630"/>
        <item m="1" x="151"/>
        <item m="1" x="3939"/>
        <item m="1" x="3235"/>
        <item m="1" x="512"/>
        <item m="1" x="3803"/>
        <item m="1" x="3806"/>
        <item m="1" x="4026"/>
        <item m="1" x="2730"/>
        <item m="1" x="4132"/>
        <item m="1" x="2841"/>
        <item m="1" x="3497"/>
        <item m="1" x="346"/>
        <item m="1" x="697"/>
        <item m="1" x="3142"/>
        <item m="1" x="320"/>
        <item m="1" x="3978"/>
        <item m="1" x="2402"/>
        <item m="1" x="3039"/>
        <item m="1" x="1934"/>
        <item m="1" x="3827"/>
        <item m="1" x="618"/>
        <item m="1" x="3670"/>
        <item m="1" x="1407"/>
        <item m="1" x="1399"/>
        <item m="1" x="4079"/>
        <item m="1" x="3399"/>
        <item m="1" x="2409"/>
        <item m="1" x="3535"/>
        <item m="1" x="1209"/>
        <item m="1" x="4061"/>
        <item m="1" x="1901"/>
        <item m="1" x="4138"/>
        <item m="1" x="3836"/>
        <item m="1" x="3382"/>
        <item m="1" x="1284"/>
        <item m="1" x="4055"/>
        <item m="1" x="2037"/>
        <item m="1" x="1460"/>
        <item m="1" x="3889"/>
        <item m="1" x="2742"/>
        <item m="1" x="3743"/>
        <item m="1" x="947"/>
        <item m="1" x="3150"/>
        <item m="1" x="2306"/>
        <item m="1" x="3634"/>
        <item m="1" x="2636"/>
        <item m="1" x="913"/>
        <item m="1" x="3094"/>
        <item m="1" x="4114"/>
        <item m="1" x="3115"/>
        <item m="1" x="3013"/>
        <item m="1" x="1981"/>
        <item m="1" x="1653"/>
        <item m="1" x="1596"/>
        <item m="1" x="1526"/>
        <item m="1" x="2199"/>
        <item m="1" x="348"/>
        <item m="1" x="1574"/>
        <item m="1" x="3568"/>
        <item m="1" x="1221"/>
        <item m="1" x="3752"/>
        <item m="1" x="528"/>
        <item m="1" x="3444"/>
        <item m="1" x="3961"/>
        <item m="1" x="2715"/>
        <item m="1" x="2740"/>
        <item m="1" x="388"/>
        <item m="1" x="2209"/>
        <item m="1" x="3490"/>
        <item m="1" x="2233"/>
        <item m="1" x="1025"/>
        <item m="1" x="2834"/>
        <item m="1" x="3454"/>
        <item m="1" x="2237"/>
        <item m="1" x="1002"/>
        <item m="1" x="1205"/>
        <item m="1" x="819"/>
        <item m="1" x="2198"/>
        <item m="1" x="872"/>
        <item m="1" x="2035"/>
        <item m="1" x="2115"/>
        <item m="1" x="2875"/>
        <item m="1" x="454"/>
        <item m="1" x="263"/>
        <item m="1" x="2071"/>
        <item m="1" x="328"/>
        <item m="1" x="2302"/>
        <item m="1" x="1049"/>
        <item m="1" x="3549"/>
        <item m="1" x="441"/>
        <item m="1" x="1455"/>
        <item m="1" x="2635"/>
        <item m="1" x="1616"/>
        <item m="1" x="824"/>
        <item m="1" x="1733"/>
        <item m="1" x="2147"/>
        <item m="1" x="677"/>
        <item m="1" x="2608"/>
        <item m="1" x="602"/>
        <item m="1" x="1523"/>
        <item m="1" x="215"/>
        <item m="1" x="3522"/>
        <item m="1" x="4211"/>
        <item m="1" x="3912"/>
        <item m="1" x="3242"/>
        <item m="1" x="1881"/>
        <item m="1" x="3594"/>
        <item m="1" x="410"/>
        <item m="1" x="4107"/>
        <item m="1" x="3835"/>
        <item m="1" x="3819"/>
        <item m="1" x="627"/>
        <item m="1" x="1246"/>
        <item m="1" x="1988"/>
        <item m="1" x="408"/>
        <item m="1" x="3561"/>
        <item m="1" x="2577"/>
        <item m="1" x="4181"/>
        <item m="1" x="959"/>
        <item m="1" x="1821"/>
        <item m="1" x="2502"/>
        <item m="1" x="2451"/>
        <item m="1" x="2300"/>
        <item m="1" x="918"/>
        <item m="1" x="3067"/>
        <item m="1" x="2175"/>
        <item m="1" x="2876"/>
        <item m="1" x="3856"/>
        <item m="1" x="780"/>
        <item m="1" x="3553"/>
        <item m="1" x="1851"/>
        <item m="1" x="119"/>
        <item m="1" x="3685"/>
        <item m="1" x="334"/>
        <item m="1" x="3765"/>
        <item m="1" x="2173"/>
        <item m="1" x="350"/>
        <item m="1" x="2556"/>
        <item m="1" x="2601"/>
        <item m="1" x="1151"/>
        <item m="1" x="463"/>
        <item m="1" x="3647"/>
        <item m="1" x="3617"/>
        <item m="1" x="1103"/>
        <item m="1" x="2485"/>
        <item m="1" x="2495"/>
        <item m="1" x="2885"/>
        <item m="1" x="2130"/>
        <item m="1" x="2862"/>
        <item m="1" x="444"/>
        <item m="1" x="3116"/>
        <item m="1" x="2817"/>
        <item m="1" x="2276"/>
        <item m="1" x="2622"/>
        <item m="1" x="1348"/>
        <item m="1" x="1766"/>
        <item m="1" x="3648"/>
        <item m="1" x="1274"/>
        <item m="1" x="1742"/>
        <item m="1" x="1835"/>
        <item m="1" x="3426"/>
        <item m="1" x="3791"/>
        <item m="1" x="1075"/>
        <item m="1" x="1902"/>
        <item m="1" x="3108"/>
        <item m="1" x="1964"/>
        <item m="1" x="349"/>
        <item m="1" x="1096"/>
        <item m="1" x="3699"/>
        <item m="1" x="3865"/>
        <item m="1" x="3718"/>
        <item m="1" x="4179"/>
        <item m="1" x="1419"/>
        <item m="1" x="3131"/>
        <item m="1" x="2708"/>
        <item m="1" x="2566"/>
        <item m="1" x="4045"/>
        <item m="1" x="2766"/>
        <item m="1" x="3221"/>
        <item m="1" x="2563"/>
        <item m="1" x="3464"/>
        <item m="1" x="1931"/>
        <item m="1" x="504"/>
        <item m="1" x="3359"/>
        <item m="1" x="2839"/>
        <item m="1" x="656"/>
        <item m="1" x="3232"/>
        <item m="1" x="4098"/>
        <item m="1" x="4078"/>
        <item m="1" x="2006"/>
        <item m="1" x="3174"/>
        <item m="1" x="3813"/>
        <item m="1" x="1158"/>
        <item m="1" x="2838"/>
        <item m="1" x="666"/>
        <item m="1" x="464"/>
        <item m="1" x="3294"/>
        <item m="1" x="2301"/>
        <item m="1" x="4175"/>
        <item m="1" x="2211"/>
        <item m="1" x="3087"/>
        <item m="1" x="4005"/>
        <item m="1" x="4188"/>
        <item m="1" x="437"/>
        <item m="1" x="3618"/>
        <item m="1" x="1345"/>
        <item m="1" x="171"/>
        <item m="1" x="459"/>
        <item m="1" x="2626"/>
        <item m="1" x="149"/>
        <item m="1" x="2097"/>
        <item m="1" x="3188"/>
        <item m="1" x="1094"/>
        <item m="1" x="2557"/>
        <item m="1" x="771"/>
        <item m="1" x="3599"/>
        <item m="1" x="3106"/>
        <item m="1" x="2859"/>
        <item m="1" x="2529"/>
        <item m="1" x="3589"/>
        <item m="1" x="2420"/>
        <item m="1" x="4154"/>
        <item m="1" x="2194"/>
        <item m="1" x="315"/>
        <item m="1" x="3747"/>
        <item m="1" x="1410"/>
        <item m="1" x="3219"/>
        <item m="1" x="1569"/>
        <item m="1" x="908"/>
        <item m="1" x="1783"/>
        <item m="1" x="100"/>
        <item m="1" x="4074"/>
        <item m="1" x="1704"/>
        <item m="1" x="2807"/>
        <item m="1" x="3027"/>
        <item m="1" x="2569"/>
        <item m="1" x="675"/>
        <item m="1" x="194"/>
        <item m="1" x="904"/>
        <item m="1" x="2009"/>
        <item m="1" x="3404"/>
        <item m="1" x="3325"/>
        <item m="1" x="2508"/>
        <item m="1" x="1402"/>
        <item m="1" x="22"/>
        <item m="1" x="4201"/>
        <item m="1" x="3778"/>
        <item m="1" x="3651"/>
        <item m="1" x="3543"/>
        <item m="1" x="1219"/>
        <item m="1" x="3883"/>
        <item m="1" x="1361"/>
        <item m="1" x="2649"/>
        <item m="1" x="226"/>
        <item m="1" x="2141"/>
        <item m="1" x="3528"/>
        <item m="1" x="1621"/>
        <item m="1" x="2952"/>
        <item m="1" x="2454"/>
        <item m="1" x="117"/>
        <item m="1" x="3348"/>
        <item m="1" x="3575"/>
        <item m="1" x="3780"/>
        <item m="1" x="2770"/>
        <item m="1" x="406"/>
        <item m="1" x="1976"/>
        <item m="1" x="2937"/>
        <item m="1" x="2063"/>
        <item m="1" x="1910"/>
        <item m="1" x="709"/>
        <item m="1" x="1706"/>
        <item m="1" x="1887"/>
        <item m="1" x="3578"/>
        <item m="1" x="3897"/>
        <item m="1" x="2516"/>
        <item m="1" x="1536"/>
        <item m="1" x="524"/>
        <item m="1" x="3350"/>
        <item m="1" x="1703"/>
        <item m="1" x="2023"/>
        <item m="1" x="2360"/>
        <item m="1" x="19"/>
        <item m="1" x="1849"/>
        <item m="1" x="929"/>
        <item m="1" x="2186"/>
        <item m="1" x="1359"/>
        <item m="1" x="3155"/>
        <item m="1" x="1412"/>
        <item m="1" x="233"/>
        <item m="1" x="2678"/>
        <item m="1" x="614"/>
        <item m="1" x="4014"/>
        <item m="1" x="3726"/>
        <item m="1" x="1656"/>
        <item m="1" x="2843"/>
        <item m="1" x="1932"/>
        <item m="1" x="1859"/>
        <item m="1" x="147"/>
        <item m="1" x="1951"/>
        <item m="1" x="3303"/>
        <item m="1" x="2755"/>
        <item m="1" x="885"/>
        <item m="1" x="470"/>
        <item m="1" x="1517"/>
        <item m="1" x="3146"/>
        <item m="1" x="2796"/>
        <item m="1" x="331"/>
        <item m="1" x="3597"/>
        <item m="1" x="2381"/>
        <item m="1" x="1764"/>
        <item m="1" x="1105"/>
        <item m="1" x="3355"/>
        <item m="1" x="1732"/>
        <item m="1" x="590"/>
        <item m="1" x="1125"/>
        <item m="1" x="244"/>
        <item m="1" x="1493"/>
        <item m="1" x="3187"/>
        <item m="1" x="558"/>
        <item m="1" x="2272"/>
        <item m="1" x="2928"/>
        <item m="1" x="1936"/>
        <item m="1" x="2387"/>
        <item m="1" x="1886"/>
        <item m="1" x="550"/>
        <item m="1" x="489"/>
        <item m="1" x="844"/>
        <item m="1" x="3271"/>
        <item m="1" x="1912"/>
        <item m="1" x="2702"/>
        <item m="1" x="3488"/>
        <item m="1" x="1891"/>
        <item m="1" x="3950"/>
        <item m="1" x="3926"/>
        <item m="1" x="3367"/>
        <item m="1" x="2081"/>
        <item m="1" x="1682"/>
        <item m="1" x="1176"/>
        <item m="1" x="2999"/>
        <item m="1" x="2980"/>
        <item m="1" x="624"/>
        <item m="1" x="2178"/>
        <item m="1" x="2825"/>
        <item m="1" x="3999"/>
        <item m="1" x="2481"/>
        <item m="1" x="2554"/>
        <item m="1" x="1974"/>
        <item m="1" x="1488"/>
        <item m="1" x="3196"/>
        <item m="1" x="3809"/>
        <item m="1" x="2758"/>
        <item m="1" x="1249"/>
        <item m="1" x="2343"/>
        <item m="1" x="923"/>
        <item m="1" x="428"/>
        <item m="1" x="696"/>
        <item m="1" x="3676"/>
        <item m="1" x="4135"/>
        <item m="1" x="1406"/>
        <item m="1" x="3240"/>
        <item m="1" x="1271"/>
        <item m="1" x="1627"/>
        <item m="1" x="738"/>
        <item m="1" x="2879"/>
        <item x="7"/>
        <item m="1" x="1561"/>
        <item m="1" x="1798"/>
        <item m="1" x="1058"/>
        <item m="1" x="1626"/>
        <item m="1" x="2385"/>
        <item m="1" x="280"/>
        <item m="1" x="2174"/>
        <item m="1" x="2005"/>
        <item m="1" x="922"/>
        <item m="1" x="952"/>
        <item m="1" x="3801"/>
        <item m="1" x="861"/>
        <item m="1" x="2438"/>
        <item m="1" x="2427"/>
        <item m="1" x="3210"/>
        <item m="1" x="2699"/>
        <item m="1" x="1613"/>
        <item m="1" x="360"/>
        <item m="1" x="1769"/>
        <item m="1" x="4161"/>
        <item m="1" x="4042"/>
        <item m="1" x="655"/>
        <item m="1" x="1156"/>
        <item m="1" x="2122"/>
        <item m="1" x="1173"/>
        <item m="1" x="651"/>
        <item m="1" x="2000"/>
        <item m="1" x="1234"/>
        <item m="1" x="4214"/>
        <item m="1" x="337"/>
        <item m="1" x="1484"/>
        <item m="1" x="96"/>
        <item m="1" x="2303"/>
        <item m="1" x="1648"/>
        <item m="1" x="3002"/>
        <item m="1" x="2968"/>
        <item m="1" x="799"/>
        <item m="1" x="2069"/>
        <item m="1" x="1130"/>
        <item m="1" x="3616"/>
        <item m="1" x="1297"/>
        <item m="1" x="3092"/>
        <item m="1" x="766"/>
        <item m="1" x="1144"/>
        <item m="1" x="12"/>
        <item m="1" x="278"/>
        <item m="1" x="2366"/>
        <item m="1" x="1589"/>
        <item m="1" x="2337"/>
        <item m="1" x="1086"/>
        <item m="1" x="2562"/>
        <item m="1" x="2135"/>
        <item m="1" x="576"/>
        <item m="1" x="80"/>
        <item m="1" x="1366"/>
        <item m="1" x="1326"/>
        <item m="1" x="2731"/>
        <item m="1" x="358"/>
        <item m="1" x="3828"/>
        <item m="1" x="2772"/>
        <item m="1" x="1388"/>
        <item m="1" x="2419"/>
        <item m="1" x="1199"/>
        <item m="1" x="1935"/>
        <item m="1" x="1498"/>
        <item m="1" x="1605"/>
        <item m="1" x="2028"/>
        <item m="1" x="3533"/>
        <item m="1" x="1511"/>
        <item m="1" x="3781"/>
        <item m="1" x="2993"/>
        <item m="1" x="778"/>
        <item m="1" x="2014"/>
        <item m="1" x="2860"/>
        <item m="1" x="1323"/>
        <item m="1" x="433"/>
        <item m="1" x="2255"/>
        <item m="1" x="1740"/>
        <item m="1" x="562"/>
        <item m="1" x="3413"/>
        <item m="1" x="2138"/>
        <item m="1" x="2904"/>
        <item m="1" x="1772"/>
        <item m="1" x="251"/>
        <item m="1" x="114"/>
        <item m="1" x="418"/>
        <item m="1" x="1728"/>
        <item m="1" x="211"/>
        <item m="1" x="1619"/>
        <item m="1" x="3885"/>
        <item m="1" x="2180"/>
        <item m="1" x="1117"/>
        <item m="1" x="2898"/>
        <item m="1" x="2193"/>
        <item m="1" x="595"/>
        <item m="1" x="2318"/>
        <item m="1" x="1743"/>
        <item m="1" x="2383"/>
        <item m="1" x="3936"/>
        <item m="1" x="1750"/>
        <item m="1" x="3784"/>
        <item m="1" x="2763"/>
        <item m="1" x="3321"/>
        <item m="1" x="3363"/>
        <item m="1" x="741"/>
        <item m="1" x="286"/>
        <item m="1" x="4100"/>
        <item m="1" x="2922"/>
        <item m="1" x="2458"/>
        <item m="1" x="1239"/>
        <item m="1" x="3773"/>
        <item m="1" x="204"/>
        <item m="1" x="3117"/>
        <item m="1" x="2239"/>
        <item m="1" x="312"/>
        <item m="1" x="2595"/>
        <item m="1" x="2053"/>
        <item m="1" x="294"/>
        <item m="1" x="3534"/>
        <item m="1" x="3951"/>
        <item m="1" x="1178"/>
        <item m="1" x="4069"/>
        <item m="1" x="1844"/>
        <item m="1" x="3682"/>
        <item m="1" x="1483"/>
        <item m="1" x="2179"/>
        <item m="1" x="137"/>
        <item m="1" x="1386"/>
        <item m="1" x="3432"/>
        <item m="1" x="993"/>
        <item m="1" x="1538"/>
        <item m="1" x="47"/>
        <item m="1" x="942"/>
        <item m="1" x="2066"/>
        <item m="1" x="2477"/>
        <item m="1" x="3292"/>
        <item m="1" x="3805"/>
        <item m="1" x="863"/>
        <item m="1" x="2581"/>
        <item m="1" x="1647"/>
        <item m="1" x="1690"/>
        <item m="1" x="2793"/>
        <item m="1" x="2075"/>
        <item m="1" x="540"/>
        <item m="1" x="1837"/>
        <item m="1" x="267"/>
        <item m="1" x="3509"/>
        <item m="1" x="3505"/>
        <item m="1" x="1758"/>
        <item m="1" x="3362"/>
        <item m="1" x="2509"/>
        <item m="1" x="734"/>
        <item m="1" x="2831"/>
        <item m="1" x="2732"/>
        <item m="1" x="1722"/>
        <item m="1" x="3932"/>
        <item m="1" x="2261"/>
        <item m="1" x="3206"/>
        <item m="1" x="1268"/>
        <item m="1" x="3375"/>
        <item m="1" x="2710"/>
        <item m="1" x="91"/>
        <item m="1" x="327"/>
        <item m="1" x="2441"/>
        <item m="1" x="4099"/>
        <item m="1" x="3172"/>
        <item m="1" x="3393"/>
        <item m="1" x="43"/>
        <item m="1" x="2697"/>
        <item m="1" x="3940"/>
        <item m="1" x="588"/>
        <item m="1" x="2203"/>
        <item m="1" x="122"/>
        <item m="1" x="1467"/>
        <item m="1" x="4039"/>
        <item m="1" x="1681"/>
        <item m="1" x="963"/>
        <item m="1" x="1376"/>
        <item m="1" x="2990"/>
        <item m="1" x="3772"/>
        <item m="1" x="2694"/>
        <item m="1" x="1792"/>
        <item m="1" x="573"/>
        <item m="1" x="1028"/>
        <item m="1" x="1600"/>
        <item m="1" x="2855"/>
        <item m="1" x="3238"/>
        <item m="1" x="1148"/>
        <item m="1" x="369"/>
        <item m="1" x="2723"/>
        <item m="1" x="416"/>
        <item m="1" x="4081"/>
        <item m="1" x="1280"/>
        <item m="1" x="3090"/>
        <item m="1" x="359"/>
        <item m="1" x="2585"/>
        <item m="1" x="1184"/>
        <item m="1" x="2528"/>
        <item m="1" x="1503"/>
        <item m="1" x="3409"/>
        <item m="1" x="2872"/>
        <item m="1" x="1085"/>
        <item m="1" x="1665"/>
        <item m="1" x="3844"/>
        <item m="1" x="1604"/>
        <item m="1" x="1204"/>
        <item m="1" x="298"/>
        <item m="1" x="1068"/>
        <item m="1" x="1713"/>
        <item m="1" x="3881"/>
        <item m="1" x="2549"/>
        <item m="1" x="1426"/>
        <item m="1" x="3586"/>
        <item m="1" x="3987"/>
        <item m="1" x="3655"/>
        <item m="1" x="4167"/>
        <item m="1" x="487"/>
        <item m="1" x="299"/>
        <item m="1" x="982"/>
        <item m="1" x="1198"/>
        <item m="1" x="3712"/>
        <item m="1" x="968"/>
        <item m="1" x="1000"/>
        <item m="1" x="1524"/>
        <item m="1" x="2397"/>
        <item m="1" x="3861"/>
        <item m="1" x="1222"/>
        <item m="1" x="1997"/>
        <item m="1" x="2955"/>
        <item m="1" x="686"/>
        <item m="1" x="2263"/>
        <item m="1" x="3459"/>
        <item m="1" x="3204"/>
        <item m="1" x="4083"/>
        <item m="1" x="681"/>
        <item m="1" x="790"/>
        <item m="1" x="4060"/>
        <item m="1" x="2853"/>
        <item m="1" x="3815"/>
        <item m="1" x="3441"/>
        <item m="1" x="1114"/>
        <item m="1" x="3606"/>
        <item m="1" x="871"/>
        <item m="1" x="660"/>
        <item m="1" x="109"/>
        <item m="1" x="1581"/>
        <item m="1" x="2948"/>
        <item m="1" x="1243"/>
        <item m="1" x="1421"/>
        <item m="1" x="640"/>
        <item m="1" x="910"/>
        <item m="1" x="1863"/>
        <item m="1" x="164"/>
        <item m="1" x="3751"/>
        <item m="1" x="641"/>
        <item m="1" x="4149"/>
        <item m="1" x="2364"/>
        <item m="1" x="547"/>
        <item m="1" x="2953"/>
        <item m="1" x="2356"/>
        <item m="1" x="3385"/>
        <item m="1" x="3539"/>
        <item m="1" x="1079"/>
        <item m="1" x="1354"/>
        <item m="1" x="3143"/>
        <item m="1" x="1481"/>
        <item m="1" x="3640"/>
        <item m="1" x="3175"/>
        <item m="1" x="2639"/>
        <item m="1" x="701"/>
        <item m="1" x="3405"/>
        <item m="1" x="1208"/>
        <item m="1" x="120"/>
        <item m="1" x="1615"/>
        <item m="1" x="4076"/>
        <item m="1" x="1918"/>
        <item m="1" x="3872"/>
        <item m="1" x="4004"/>
        <item m="1" x="3096"/>
        <item m="1" x="107"/>
        <item m="1" x="1427"/>
        <item m="1" x="190"/>
        <item m="1" x="1895"/>
        <item m="1" x="1646"/>
        <item m="1" x="2532"/>
        <item m="1" x="3558"/>
        <item m="1" x="3019"/>
        <item m="1" x="3779"/>
        <item m="1" x="839"/>
        <item m="1" x="1101"/>
        <item m="1" x="1727"/>
        <item m="1" x="3315"/>
        <item m="1" x="3334"/>
        <item m="1" x="3085"/>
        <item m="1" x="3887"/>
        <item m="1" x="2008"/>
        <item m="1" x="1027"/>
        <item m="1" x="775"/>
        <item m="1" x="2644"/>
        <item m="1" x="2353"/>
        <item m="1" x="1756"/>
        <item m="1" x="560"/>
        <item m="1" x="1774"/>
        <item m="1" x="203"/>
        <item m="1" x="324"/>
        <item m="1" x="693"/>
        <item m="1" x="849"/>
        <item m="1" x="1140"/>
        <item m="1" x="1080"/>
        <item m="1" x="2471"/>
        <item m="1" x="3212"/>
        <item m="1" x="2538"/>
        <item m="1" x="1429"/>
        <item m="1" x="1862"/>
        <item m="1" x="3264"/>
        <item m="1" x="3099"/>
        <item m="1" x="3577"/>
        <item m="1" x="777"/>
        <item m="1" x="730"/>
        <item m="1" x="2281"/>
        <item m="1" x="2143"/>
        <item m="1" x="145"/>
        <item m="1" x="3357"/>
        <item m="1" x="1960"/>
        <item m="1" x="1090"/>
        <item m="1" x="3370"/>
        <item m="1" x="2800"/>
        <item m="1" x="544"/>
        <item m="1" x="3588"/>
        <item m="1" x="1968"/>
        <item m="1" x="229"/>
        <item m="1" x="1319"/>
        <item m="1" x="273"/>
        <item m="1" x="1784"/>
        <item m="1" x="2197"/>
        <item m="1" x="3601"/>
        <item m="1" x="3296"/>
        <item m="1" x="169"/>
        <item m="1" x="446"/>
        <item m="1" x="3053"/>
        <item m="1" x="3722"/>
        <item m="1" x="1660"/>
        <item m="1" x="1735"/>
        <item m="1" x="1994"/>
        <item m="1" x="1259"/>
        <item m="1" x="1475"/>
        <item m="1" x="1220"/>
        <item m="1" x="3796"/>
        <item m="1" x="672"/>
        <item m="1" x="960"/>
        <item m="1" x="178"/>
        <item m="1" x="2618"/>
        <item m="1" x="2264"/>
        <item m="1" x="285"/>
        <item m="1" x="1287"/>
        <item m="1" x="2479"/>
        <item m="1" x="274"/>
        <item m="1" x="3902"/>
        <item m="1" x="2868"/>
        <item m="1" x="2661"/>
        <item m="1" x="571"/>
        <item m="1" x="261"/>
        <item m="1" x="1486"/>
        <item m="1" x="74"/>
        <item m="1" x="1828"/>
        <item m="1" x="2125"/>
        <item m="1" x="353"/>
        <item m="1" x="788"/>
        <item m="1" x="3332"/>
        <item m="1" x="3632"/>
        <item m="1" x="2724"/>
        <item m="1" x="1133"/>
        <item m="1" x="1585"/>
        <item m="1" x="1313"/>
        <item m="1" x="1092"/>
        <item m="1" x="189"/>
        <item m="1" x="50"/>
        <item m="1" x="1318"/>
        <item m="1" x="1754"/>
        <item m="1" x="2467"/>
        <item m="1" x="1217"/>
        <item m="1" x="3216"/>
        <item m="1" x="1076"/>
        <item m="1" x="890"/>
        <item m="1" x="4077"/>
        <item m="1" x="3253"/>
        <item m="1" x="2126"/>
        <item m="1" x="375"/>
        <item m="1" x="288"/>
        <item m="1" x="3731"/>
        <item m="1" x="2548"/>
        <item m="1" x="191"/>
        <item m="1" x="649"/>
        <item m="1" x="2685"/>
        <item m="1" x="2312"/>
        <item m="1" x="3278"/>
        <item m="1" x="1191"/>
        <item m="1" x="591"/>
        <item m="1" x="2058"/>
        <item m="1" x="2445"/>
        <item m="1" x="1674"/>
        <item m="1" x="3771"/>
        <item m="1" x="128"/>
        <item m="1" x="3571"/>
        <item m="1" x="3059"/>
        <item m="1" x="3848"/>
        <item m="1" x="2246"/>
        <item m="1" x="1110"/>
        <item m="1" x="1723"/>
        <item m="1" x="3888"/>
        <item m="1" x="4057"/>
        <item m="1" x="271"/>
        <item m="1" x="212"/>
        <item m="1" x="1609"/>
        <item m="1" x="2887"/>
        <item m="1" x="1351"/>
        <item m="1" x="829"/>
        <item m="1" x="638"/>
        <item m="1" x="1333"/>
        <item m="1" x="1664"/>
        <item m="1" x="2370"/>
        <item m="1" x="1839"/>
        <item m="1" x="3591"/>
        <item m="1" x="3471"/>
        <item m="1" x="983"/>
        <item m="1" x="321"/>
        <item m="1" x="811"/>
        <item m="1" x="1062"/>
        <item m="1" x="3672"/>
        <item m="1" x="3469"/>
        <item m="1" x="3587"/>
        <item m="1" x="3050"/>
        <item m="1" x="2927"/>
        <item m="1" x="948"/>
        <item m="1" x="1451"/>
        <item m="1" x="1924"/>
        <item m="1" x="2518"/>
        <item m="1" x="4210"/>
        <item m="1" x="421"/>
        <item m="1" x="157"/>
        <item m="1" x="2266"/>
        <item m="1" x="2802"/>
        <item m="1" x="3688"/>
        <item m="1" x="1749"/>
        <item m="1" x="2809"/>
        <item m="1" x="2659"/>
        <item m="1" x="2656"/>
        <item m="1" x="728"/>
        <item m="1" x="1892"/>
        <item m="1" x="3971"/>
        <item m="1" x="3024"/>
        <item m="1" x="2219"/>
        <item m="1" x="3638"/>
        <item m="1" x="3674"/>
        <item m="1" x="1555"/>
        <item m="1" x="3724"/>
        <item m="1" x="2104"/>
        <item m="1" x="3145"/>
        <item m="1" x="3526"/>
        <item m="1" x="3716"/>
        <item m="1" x="2183"/>
        <item m="1" x="3233"/>
        <item m="1" x="2043"/>
        <item m="1" x="3183"/>
        <item m="1" x="633"/>
        <item m="1" x="3033"/>
        <item m="1" x="760"/>
        <item m="1" x="4170"/>
        <item m="1" x="179"/>
        <item m="1" x="2507"/>
        <item m="1" x="2196"/>
        <item m="1" x="2978"/>
        <item m="1" x="1676"/>
        <item m="1" x="2160"/>
        <item m="1" x="3700"/>
        <item m="1" x="1991"/>
        <item m="1" x="222"/>
        <item m="1" x="2408"/>
        <item m="1" x="4020"/>
        <item m="1" x="1472"/>
        <item m="1" x="3291"/>
        <item m="1" x="3612"/>
        <item m="1" x="39"/>
        <item m="1" x="860"/>
        <item m="1" x="15"/>
        <item m="1" x="2808"/>
        <item m="1" x="3377"/>
        <item m="1" x="735"/>
        <item m="1" x="3730"/>
        <item m="1" x="2442"/>
        <item m="1" x="2826"/>
        <item m="1" x="1175"/>
        <item m="1" x="820"/>
        <item m="1" x="1878"/>
        <item m="1" x="48"/>
        <item m="1" x="1778"/>
        <item m="1" x="3247"/>
        <item m="1" x="2617"/>
        <item m="1" x="2106"/>
        <item m="1" x="2721"/>
        <item m="1" x="1275"/>
        <item m="1" x="800"/>
        <item m="1" x="1374"/>
        <item m="1" x="2002"/>
        <item m="1" x="140"/>
        <item m="1" x="1908"/>
        <item m="1" x="1721"/>
        <item m="1" x="2964"/>
        <item m="1" x="482"/>
        <item m="1" x="1576"/>
        <item m="1" x="1353"/>
        <item m="1" x="883"/>
        <item m="1" x="163"/>
        <item m="1" x="3545"/>
        <item m="1" x="531"/>
        <item m="1" x="888"/>
        <item m="1" x="3124"/>
        <item m="1" x="3896"/>
        <item m="1" x="1696"/>
        <item m="1" x="1387"/>
        <item m="1" x="4031"/>
        <item m="1" x="2739"/>
        <item m="1" x="2102"/>
        <item m="1" x="1725"/>
        <item m="1" x="2979"/>
        <item m="1" x="2576"/>
        <item m="1" x="2243"/>
        <item m="1" x="669"/>
        <item m="1" x="4165"/>
        <item m="1" x="1012"/>
        <item m="1" x="355"/>
        <item m="1" x="548"/>
        <item m="1" x="1853"/>
        <item m="1" x="654"/>
        <item m="1" x="2615"/>
        <item m="1" x="4206"/>
        <item m="1" x="1235"/>
        <item m="1" x="4018"/>
        <item m="1" x="361"/>
        <item m="1" x="1738"/>
        <item m="1" x="3010"/>
        <item m="1" x="3203"/>
        <item m="1" x="2506"/>
        <item m="1" x="879"/>
        <item m="1" x="2503"/>
        <item m="1" x="1537"/>
        <item m="1" x="1055"/>
        <item m="1" x="3857"/>
        <item m="1" x="1907"/>
        <item m="1" x="2041"/>
        <item m="1" x="3220"/>
        <item m="1" x="249"/>
        <item m="1" x="1724"/>
        <item m="1" x="2474"/>
        <item m="1" x="1499"/>
        <item m="1" x="916"/>
        <item m="1" x="4197"/>
        <item m="1" x="3420"/>
        <item m="1" x="999"/>
        <item m="1" x="4086"/>
        <item m="1" x="3994"/>
        <item m="1" x="57"/>
        <item m="1" x="1939"/>
        <item m="1" x="3428"/>
        <item m="1" x="3346"/>
        <item m="1" x="657"/>
        <item m="1" x="1836"/>
        <item m="1" x="714"/>
        <item m="1" x="3209"/>
        <item m="1" x="3924"/>
        <item m="1" x="1583"/>
        <item m="1" x="1069"/>
        <item m="1" x="3430"/>
        <item m="1" x="1109"/>
        <item m="1" x="1322"/>
        <item m="1" x="3746"/>
        <item m="1" x="644"/>
        <item m="1" x="2877"/>
        <item m="1" x="3121"/>
        <item m="1" x="1299"/>
        <item m="1" x="3026"/>
        <item m="1" x="3231"/>
        <item m="1" x="1601"/>
        <item m="1" x="498"/>
        <item m="1" x="1494"/>
        <item m="1" x="2358"/>
        <item m="1" x="3661"/>
        <item m="1" x="2747"/>
        <item m="1" x="978"/>
        <item m="1" x="3368"/>
        <item m="1" x="1848"/>
        <item m="1" x="304"/>
        <item m="1" x="940"/>
        <item m="1" x="1172"/>
        <item m="1" x="1810"/>
        <item m="1" x="1441"/>
        <item m="1" x="2857"/>
        <item m="1" x="3301"/>
        <item m="1" x="1904"/>
        <item m="1" x="1834"/>
        <item m="1" x="893"/>
        <item m="1" x="2716"/>
        <item m="1" x="1417"/>
        <item m="1" x="2975"/>
        <item m="1" x="764"/>
        <item m="1" x="1226"/>
        <item m="1" x="2436"/>
        <item m="1" x="1200"/>
        <item m="1" x="2092"/>
        <item m="1" x="636"/>
        <item m="1" x="1746"/>
        <item m="1" x="1528"/>
        <item m="1" x="3797"/>
        <item m="1" x="2389"/>
        <item m="1" x="970"/>
        <item m="1" x="517"/>
        <item m="1" x="2367"/>
        <item m="1" x="2602"/>
        <item m="1" x="2888"/>
        <item m="1" x="1046"/>
        <item m="1" x="3837"/>
        <item m="1" x="41"/>
        <item m="1" x="1050"/>
        <item m="1" x="1515"/>
        <item m="1" x="2077"/>
        <item m="1" x="671"/>
        <item m="1" x="1712"/>
        <item m="1" x="4029"/>
        <item m="1" x="1238"/>
        <item m="1" x="2546"/>
        <item m="1" x="2647"/>
        <item m="1" x="2177"/>
        <item m="1" x="1181"/>
        <item m="1" x="3486"/>
        <item m="1" x="3823"/>
        <item m="1" x="1898"/>
        <item m="1" x="1842"/>
        <item m="1" x="1201"/>
        <item m="1" x="2543"/>
        <item m="1" x="1203"/>
        <item m="1" x="205"/>
        <item m="1" x="3868"/>
        <item m="1" x="4160"/>
        <item m="1" x="2468"/>
        <item m="1" x="2501"/>
        <item m="1" x="1279"/>
        <item m="1" x="3567"/>
        <item m="1" x="1428"/>
        <item m="1" x="569"/>
        <item m="1" x="1078"/>
        <item m="1" x="1899"/>
        <item m="1" x="3654"/>
        <item m="1" x="3123"/>
        <item m="1" x="1817"/>
        <item m="1" x="653"/>
        <item m="1" x="1694"/>
        <item m="1" x="527"/>
        <item m="1" x="3001"/>
        <item m="1" x="89"/>
        <item m="1" x="343"/>
        <item m="1" x="1590"/>
        <item m="1" x="3295"/>
        <item m="1" x="2910"/>
        <item m="1" x="739"/>
        <item m="1" x="645"/>
        <item m="1" x="523"/>
        <item m="1" x="989"/>
        <item m="1" x="1584"/>
        <item m="1" x="720"/>
        <item m="1" x="1273"/>
        <item m="1" x="2262"/>
        <item m="1" x="3222"/>
        <item m="1" x="2799"/>
        <item m="1" x="1606"/>
        <item m="1" x="1107"/>
        <item m="1" x="3929"/>
        <item m="1" x="188"/>
        <item m="1" x="477"/>
        <item m="1" x="3894"/>
        <item m="1" x="2652"/>
        <item m="1" x="480"/>
        <item m="1" x="1556"/>
        <item m="1" x="1444"/>
        <item m="1" x="455"/>
        <item m="1" x="2015"/>
        <item m="1" x="862"/>
        <item m="1" x="2185"/>
        <item m="1" x="221"/>
        <item m="1" x="692"/>
        <item m="1" x="1081"/>
        <item m="1" x="3879"/>
        <item m="1" x="1502"/>
        <item m="1" x="35"/>
        <item m="1" x="310"/>
        <item m="1" x="3335"/>
        <item m="1" x="1813"/>
        <item m="1" x="2932"/>
        <item m="1" x="2330"/>
        <item m="1" x="2852"/>
        <item m="1" x="2142"/>
        <item m="1" x="1744"/>
        <item m="1" x="1701"/>
        <item m="1" x="2151"/>
        <item m="1" x="2660"/>
        <item m="1" x="1473"/>
        <item m="1" x="3483"/>
        <item m="1" x="2157"/>
        <item m="1" x="1633"/>
        <item m="1" x="2962"/>
        <item m="1" x="2687"/>
        <item m="1" x="924"/>
        <item m="1" x="2884"/>
        <item m="1" x="2874"/>
        <item m="1" x="2836"/>
        <item m="1" x="3288"/>
        <item m="1" x="381"/>
        <item m="1" x="387"/>
        <item m="1" x="2519"/>
        <item m="1" x="2129"/>
        <item m="1" x="3506"/>
        <item m="1" x="884"/>
        <item m="1" x="745"/>
        <item m="1" x="4025"/>
        <item m="1" x="1153"/>
        <item m="1" x="3080"/>
        <item m="1" x="1548"/>
        <item m="1" x="3439"/>
        <item m="1" x="1369"/>
        <item m="1" x="3069"/>
        <item m="1" x="2673"/>
        <item m="1" x="3030"/>
        <item m="1" x="3649"/>
        <item m="1" x="2100"/>
        <item m="1" x="283"/>
        <item m="1" x="3416"/>
        <item m="1" x="2222"/>
        <item m="1" x="1264"/>
        <item m="1" x="1052"/>
        <item m="1" x="2638"/>
        <item m="1" x="1525"/>
        <item m="1" x="1705"/>
        <item m="1" x="2505"/>
        <item m="1" x="2779"/>
        <item m="1" x="3742"/>
        <item m="1" x="2930"/>
        <item m="1" x="230"/>
        <item m="1" x="500"/>
        <item m="1" x="2628"/>
        <item m="1" x="2297"/>
        <item m="1" x="1611"/>
        <item m="1" x="928"/>
        <item m="1" x="2299"/>
        <item m="1" x="93"/>
        <item m="1" x="409"/>
        <item m="1" x="1132"/>
        <item m="1" x="281"/>
        <item m="1" x="231"/>
        <item m="1" x="4048"/>
        <item m="1" x="2068"/>
        <item m="1" x="1670"/>
        <item m="1" x="1258"/>
        <item m="1" x="4033"/>
        <item m="1" x="1618"/>
        <item m="1" x="825"/>
        <item m="1" x="3698"/>
        <item m="1" x="3320"/>
        <item m="1" x="3173"/>
        <item m="1" x="213"/>
        <item m="1" x="673"/>
        <item m="1" x="905"/>
        <item m="1" x="1042"/>
        <item m="1" x="3229"/>
        <item m="1" x="3871"/>
        <item m="1" x="621"/>
        <item m="1" x="156"/>
        <item m="1" x="631"/>
        <item m="1" x="3327"/>
        <item m="1" x="228"/>
        <item m="1" x="953"/>
        <item m="1" x="2260"/>
        <item m="1" x="1977"/>
        <item m="1" x="2354"/>
        <item m="1" x="1691"/>
        <item m="1" x="3715"/>
        <item m="1" x="3909"/>
        <item m="1" x="3135"/>
        <item m="1" x="521"/>
        <item m="1" x="3392"/>
        <item m="1" x="1289"/>
        <item m="1" x="2893"/>
        <item m="1" x="563"/>
        <item m="1" x="604"/>
        <item m="1" x="2488"/>
        <item m="1" x="2470"/>
        <item m="1" x="1896"/>
        <item m="1" x="3328"/>
        <item m="1" x="3729"/>
        <item m="1" x="1389"/>
        <item m="1" x="1438"/>
        <item m="1" x="1214"/>
        <item m="1" x="2558"/>
        <item m="1" x="1073"/>
        <item m="1" x="1197"/>
        <item m="1" x="2537"/>
        <item m="1" x="3744"/>
        <item m="1" x="3049"/>
        <item m="1" x="2891"/>
        <item m="1" x="2863"/>
        <item m="1" x="1995"/>
        <item m="1" x="385"/>
        <item m="1" x="2403"/>
        <item m="1" x="1496"/>
        <item m="1" x="3154"/>
        <item m="1" x="2134"/>
        <item m="1" x="1150"/>
        <item m="1" x="593"/>
        <item m="1" x="668"/>
        <item m="1" x="3628"/>
        <item m="1" x="1422"/>
        <item m="1" x="4023"/>
        <item m="1" x="749"/>
        <item m="1" x="3449"/>
        <item m="1" x="977"/>
        <item m="1" x="3201"/>
        <item m="1" x="395"/>
        <item m="1" x="4049"/>
        <item m="1" x="1414"/>
        <item m="1" x="516"/>
        <item m="1" x="2242"/>
        <item m="1" x="2880"/>
        <item m="1" x="431"/>
        <item m="1" x="967"/>
        <item m="1" x="3760"/>
        <item m="1" x="351"/>
        <item m="1" x="1331"/>
        <item m="1" x="1876"/>
        <item m="1" x="870"/>
        <item m="1" x="3646"/>
        <item m="1" x="3127"/>
        <item m="1" x="1808"/>
        <item m="1" x="1644"/>
        <item m="1" x="1077"/>
        <item m="1" x="925"/>
        <item m="1" x="2706"/>
        <item m="1" x="104"/>
        <item m="1" x="2298"/>
        <item m="1" x="3436"/>
        <item m="1" x="1138"/>
        <item m="1" x="1812"/>
        <item m="1" x="2812"/>
        <item m="1" x="3442"/>
        <item m="1" x="1708"/>
        <item m="1" x="2941"/>
        <item m="1" x="79"/>
        <item m="1" x="3450"/>
        <item m="1" x="769"/>
        <item m="1" x="3692"/>
        <item m="1" x="3641"/>
        <item m="1" x="2504"/>
        <item m="1" x="2392"/>
        <item m="1" x="1946"/>
        <item m="1" x="3914"/>
        <item m="1" x="4172"/>
        <item m="1" x="3990"/>
        <item m="1" x="526"/>
        <item m="1" x="2882"/>
        <item m="1" x="530"/>
        <item m="1" x="2368"/>
        <item m="1" x="1698"/>
        <item m="1" x="1861"/>
        <item m="1" x="3695"/>
        <item m="1" x="3012"/>
        <item m="1" x="2407"/>
        <item m="1" x="716"/>
        <item m="1" x="897"/>
        <item m="1" x="1972"/>
        <item m="1" x="1017"/>
        <item m="1" x="1309"/>
        <item m="1" x="2986"/>
        <item m="1" x="3066"/>
        <item m="1" x="1022"/>
        <item m="1" x="2460"/>
        <item m="1" x="181"/>
        <item m="1" x="392"/>
        <item m="1" x="461"/>
        <item m="1" x="2350"/>
        <item m="1" x="4186"/>
        <item m="1" x="4151"/>
        <item m="1" x="972"/>
        <item m="1" x="457"/>
        <item m="1" x="1771"/>
        <item m="1" x="40"/>
        <item m="1" x="60"/>
        <item m="1" x="3379"/>
        <item m="1" x="1167"/>
        <item m="1" x="3969"/>
        <item m="1" x="2634"/>
        <item m="1" x="3390"/>
        <item m="1" x="3318"/>
        <item m="1" x="1575"/>
        <item m="1" x="2594"/>
        <item m="1" x="816"/>
        <item m="1" x="1678"/>
        <item m="1" x="284"/>
        <item m="1" x="3900"/>
        <item m="1" x="3089"/>
        <item m="1" x="474"/>
        <item m="1" x="322"/>
        <item m="1" x="4006"/>
        <item m="1" x="1395"/>
        <item m="1" x="1832"/>
        <item m="1" x="3798"/>
        <item m="1" x="3596"/>
        <item m="1" x="2339"/>
        <item m="1" x="4052"/>
        <item m="1" x="1962"/>
        <item m="1" x="4075"/>
        <item m="1" x="2762"/>
        <item m="1" x="3029"/>
        <item m="1" x="2920"/>
        <item m="1" x="476"/>
        <item m="1" x="756"/>
        <item m="1" x="733"/>
        <item m="1" x="1975"/>
        <item m="1" x="3748"/>
        <item m="1" x="3307"/>
        <item m="1" x="1083"/>
        <item m="1" x="2534"/>
        <item m="1" x="3257"/>
        <item m="1" x="4187"/>
        <item m="1" x="3983"/>
        <item m="1" x="2689"/>
        <item m="1" x="3324"/>
        <item m="1" x="3043"/>
        <item m="1" x="1157"/>
        <item m="1" x="2903"/>
        <item m="1" x="3997"/>
        <item m="1" x="2783"/>
        <item m="1" x="1599"/>
        <item m="1" x="4012"/>
        <item m="1" x="2430"/>
        <item m="1" x="3276"/>
        <item m="1" x="1823"/>
        <item m="1" x="1024"/>
        <item m="1" x="1651"/>
        <item m="1" x="87"/>
        <item m="1" x="1295"/>
        <item m="1" x="694"/>
        <item m="1" x="2627"/>
        <item m="1" x="1213"/>
        <item m="1" x="1134"/>
        <item m="1" x="342"/>
        <item m="1" x="3968"/>
        <item m="1" x="3728"/>
        <item m="1" x="2526"/>
        <item m="1" x="2949"/>
        <item m="1" x="34"/>
        <item m="1" x="991"/>
        <item m="1" x="642"/>
        <item m="1" x="3120"/>
        <item m="1" x="1930"/>
        <item m="1" x="2336"/>
        <item m="1" x="243"/>
        <item m="1" x="1060"/>
        <item m="1" x="2098"/>
        <item m="1" x="3852"/>
        <item m="1" x="1777"/>
        <item m="1" x="3783"/>
        <item m="1" x="138"/>
        <item m="1" x="3882"/>
        <item m="1" x="1797"/>
        <item m="1" x="329"/>
        <item m="1" x="1573"/>
        <item m="1" x="1119"/>
        <item m="1" x="3084"/>
        <item m="1" x="4035"/>
        <item m="1" x="3963"/>
        <item m="1" x="3611"/>
        <item m="1" x="1497"/>
        <item m="1" x="272"/>
        <item m="1" x="2728"/>
        <item m="1" x="1622"/>
        <item m="1" x="3361"/>
        <item m="1" x="183"/>
        <item m="1" x="3584"/>
        <item m="1" x="3042"/>
        <item m="1" x="246"/>
        <item m="1" x="1207"/>
        <item m="1" x="3095"/>
        <item m="1" x="2440"/>
        <item m="1" x="2322"/>
        <item m="1" x="2036"/>
        <item m="1" x="3102"/>
        <item m="1" x="3032"/>
        <item m="1" x="1432"/>
        <item m="1" x="2906"/>
        <item m="1" x="2590"/>
        <item m="1" x="1415"/>
        <item m="1" x="2658"/>
        <item m="1" x="746"/>
        <item m="1" x="3559"/>
        <item m="1" x="2791"/>
        <item m="1" x="1211"/>
        <item m="1" x="3314"/>
        <item m="1" x="2038"/>
        <item m="1" x="3181"/>
        <item m="1" x="3937"/>
        <item m="1" x="3737"/>
        <item m="1" x="4129"/>
        <item m="1" x="2270"/>
        <item m="1" x="2351"/>
        <item m="1" x="976"/>
        <item m="1" x="1097"/>
        <item m="1" x="1999"/>
        <item m="1" x="2048"/>
        <item m="1" x="3980"/>
        <item m="1" x="2535"/>
        <item m="1" x="877"/>
        <item m="1" x="2315"/>
        <item m="1" x="1248"/>
        <item m="1" x="3306"/>
        <item m="1" x="426"/>
        <item m="1" x="2457"/>
        <item m="1" x="1040"/>
        <item m="1" x="497"/>
        <item m="1" x="3074"/>
        <item m="1" x="59"/>
        <item m="1" x="2164"/>
        <item m="1" x="2819"/>
        <item m="1" x="763"/>
        <item m="1" x="368"/>
        <item m="1" x="54"/>
        <item m="1" x="1048"/>
        <item m="1" x="2901"/>
        <item m="1" x="224"/>
        <item m="1" x="3840"/>
        <item m="1" x="2268"/>
        <item m="1" x="793"/>
        <item m="1" x="4034"/>
        <item m="1" x="270"/>
        <item m="1" x="172"/>
        <item m="1" x="4168"/>
        <item m="1" x="1507"/>
        <item m="1" x="142"/>
        <item m="1" x="2365"/>
        <item m="1" x="3333"/>
        <item m="1" x="1637"/>
        <item m="1" x="1695"/>
        <item m="1" x="4022"/>
        <item m="1" x="1296"/>
        <item m="1" x="1390"/>
        <item m="1" x="3289"/>
        <item m="1" x="3554"/>
        <item m="1" x="1149"/>
        <item m="1" x="3134"/>
        <item m="1" x="3313"/>
        <item m="1" x="3814"/>
        <item m="1" x="4174"/>
        <item m="1" x="529"/>
        <item m="1" x="798"/>
        <item m="1" x="1752"/>
        <item m="1" x="3829"/>
        <item m="1" x="3104"/>
        <item m="1" x="3245"/>
        <item m="1" x="1457"/>
        <item m="1" x="3098"/>
        <item m="1" x="1468"/>
        <item m="1" x="2705"/>
        <item m="1" x="3938"/>
        <item m="1" x="3157"/>
        <item m="1" x="1779"/>
        <item m="1" x="2625"/>
        <item m="1" x="2252"/>
        <item m="1" x="1789"/>
        <item m="1" x="2396"/>
        <item m="1" x="3795"/>
        <item m="1" x="665"/>
        <item m="1" x="3822"/>
        <item m="1" x="1357"/>
        <item m="1" x="2561"/>
        <item m="1" x="4007"/>
        <item m="1" x="815"/>
        <item m="1" x="625"/>
        <item m="1" x="75"/>
        <item m="1" x="608"/>
        <item m="1" x="3758"/>
        <item m="1" x="1469"/>
        <item m="1" x="2305"/>
        <item m="1" x="3036"/>
        <item m="1" x="2086"/>
        <item m="1" x="1805"/>
        <item m="1" x="3163"/>
        <item m="1" x="3619"/>
        <item m="1" x="82"/>
        <item m="1" x="4144"/>
        <item m="1" x="2398"/>
        <item m="1" x="3988"/>
        <item m="1" x="2823"/>
        <item m="1" x="3854"/>
        <item m="1" x="3184"/>
        <item m="1" x="3541"/>
        <item m="1" x="3750"/>
        <item m="1" x="3403"/>
        <item m="1" x="2158"/>
        <item m="1" x="3671"/>
        <item m="1" x="533"/>
        <item m="1" x="1697"/>
        <item m="1" x="1425"/>
        <item m="1" x="308"/>
        <item m="1" x="2675"/>
        <item m="1" x="3088"/>
        <item m="1" x="4202"/>
        <item m="1" x="2553"/>
        <item m="1" x="796"/>
        <item m="1" x="4068"/>
        <item m="1" x="113"/>
        <item m="1" x="3732"/>
        <item m="1" x="1533"/>
        <item m="1" x="1624"/>
        <item m="1" x="1890"/>
        <item m="1" x="1841"/>
        <item m="1" x="4200"/>
        <item m="1" x="3875"/>
        <item m="1" x="3171"/>
        <item m="1" x="3570"/>
        <item m="1" x="4064"/>
        <item m="1" x="1439"/>
        <item m="1" x="2970"/>
        <item m="1" x="4047"/>
        <item m="1" x="3079"/>
        <item m="1" x="276"/>
        <item m="1" x="2154"/>
        <item m="1" x="2773"/>
        <item m="1" x="2954"/>
        <item m="1" x="33"/>
        <item m="1" x="2619"/>
        <item m="1" x="1948"/>
        <item m="1" x="4043"/>
        <item m="1" x="4096"/>
        <item m="1" x="596"/>
        <item m="1" x="2031"/>
        <item m="1" x="3981"/>
        <item m="1" x="484"/>
        <item m="1" x="732"/>
        <item m="1" x="525"/>
        <item m="1" x="1959"/>
        <item m="1" x="3149"/>
        <item m="1" x="4118"/>
        <item m="1" x="2966"/>
        <item m="1" x="3970"/>
        <item m="1" x="3574"/>
        <item m="1" x="2833"/>
        <item m="1" x="1527"/>
        <item m="1" x="3479"/>
        <item m="1" x="3531"/>
        <item m="1" x="1594"/>
        <item m="1" x="1440"/>
        <item m="1" x="4134"/>
        <item m="1" x="2536"/>
        <item m="1" x="2390"/>
        <item m="1" x="834"/>
        <item m="1" x="601"/>
        <item m="1" x="2555"/>
        <item m="1" x="1906"/>
        <item m="1" x="2790"/>
        <item m="1" x="2342"/>
        <item m="1" x="435"/>
        <item m="1" x="1470"/>
        <item m="1" x="247"/>
        <item m="1" x="1659"/>
        <item m="1" x="2801"/>
        <item m="1" x="620"/>
        <item m="1" x="3552"/>
        <item m="1" x="2621"/>
        <item m="1" x="2405"/>
        <item m="1" x="3546"/>
        <item m="1" x="3452"/>
        <item m="1" x="1688"/>
        <item m="1" x="3485"/>
        <item m="1" x="1550"/>
        <item m="1" x="3372"/>
        <item m="1" x="1833"/>
        <item m="1" x="561"/>
        <item m="1" x="4000"/>
        <item m="1" x="4126"/>
        <item m="1" x="2004"/>
        <item m="1" x="3280"/>
        <item m="1" x="68"/>
        <item m="1" x="818"/>
        <item m="1" x="1005"/>
        <item m="1" x="2232"/>
        <item m="1" x="3170"/>
        <item m="1" x="2413"/>
        <item m="1" x="148"/>
        <item m="1" x="2275"/>
        <item m="1" x="3615"/>
        <item m="1" x="3263"/>
        <item m="1" x="318"/>
        <item m="1" x="2070"/>
        <item m="1" x="2459"/>
        <item m="1" x="3266"/>
        <item m="1" x="4105"/>
        <item m="1" x="2926"/>
        <item m="1" x="3825"/>
        <item m="1" x="1804"/>
        <item m="1" x="366"/>
        <item m="1" x="1763"/>
        <item m="1" x="3818"/>
        <item m="1" x="1171"/>
        <item m="1" x="1667"/>
        <item m="1" x="3557"/>
        <item m="1" x="4195"/>
        <item m="1" x="3513"/>
        <item m="1" x="4199"/>
        <item m="1" x="2703"/>
        <item m="1" x="2049"/>
        <item m="1" x="3740"/>
        <item m="1" x="3540"/>
        <item m="1" x="2613"/>
        <item m="1" x="2515"/>
        <item m="1" x="3256"/>
        <item m="1" x="1330"/>
        <item m="1" x="1487"/>
        <item m="1" x="3878"/>
        <item m="1" x="3489"/>
        <item m="1" x="632"/>
        <item m="1" x="711"/>
        <item m="1" x="4038"/>
        <item m="1" x="797"/>
        <item m="1" x="1643"/>
        <item m="1" x="2992"/>
        <item m="1" x="1532"/>
        <item m="1" x="1431"/>
        <item m="1" x="2871"/>
        <item m="1" x="2892"/>
        <item m="1" x="938"/>
        <item m="1" x="155"/>
        <item m="1" x="373"/>
        <item m="1" x="901"/>
        <item m="1" x="1003"/>
        <item m="1" x="2713"/>
        <item m="1" x="990"/>
        <item m="1" x="995"/>
        <item m="1" x="575"/>
        <item m="1" x="1519"/>
        <item m="1" x="260"/>
        <item m="1" x="427"/>
        <item m="1" x="781"/>
        <item m="1" x="3440"/>
        <item m="1" x="3590"/>
        <item m="1" x="177"/>
        <item m="1" x="2192"/>
        <item m="1" x="1927"/>
        <item m="1" x="30"/>
        <item m="1" x="2720"/>
        <item m="1" x="1118"/>
        <item m="1" x="3691"/>
        <item m="1" x="1490"/>
        <item m="1" x="2810"/>
        <item m="1" x="3427"/>
        <item m="1" x="3109"/>
        <item m="1" x="3942"/>
        <item m="1" x="2331"/>
        <item m="1" x="1216"/>
        <item m="1" x="55"/>
        <item m="1" x="2786"/>
        <item m="1" x="46"/>
        <item m="1" x="14"/>
        <item m="1" x="2741"/>
        <item m="1" x="2744"/>
        <item m="1" x="3025"/>
        <item m="1" x="851"/>
        <item m="1" x="1534"/>
        <item m="1" x="2934"/>
        <item m="1" x="456"/>
        <item m="1" x="3895"/>
        <item m="1" x="17"/>
        <item m="1" x="16"/>
        <item m="1" x="3152"/>
        <item m="1" x="58"/>
        <item m="1" x="2286"/>
        <item m="1" x="1827"/>
        <item m="1" x="2169"/>
        <item m="1" x="1043"/>
        <item m="1" x="892"/>
        <item m="1" x="3507"/>
        <item m="1" x="2480"/>
        <item m="1" x="3609"/>
        <item m="1" x="3523"/>
        <item m="1" x="895"/>
        <item m="1" x="1391"/>
        <item m="1" x="1261"/>
        <item m="1" x="1437"/>
        <item m="1" x="4193"/>
        <item m="1" x="3160"/>
        <item m="1" x="165"/>
        <item m="1" x="964"/>
        <item m="1" x="2456"/>
        <item m="1" x="3465"/>
        <item m="1" x="3583"/>
        <item m="1" x="1074"/>
        <item m="1" x="161"/>
        <item m="1" x="3091"/>
        <item m="1" x="2463"/>
        <item m="1" x="559"/>
        <item m="1" x="4051"/>
        <item m="1" x="3843"/>
        <item m="1" x="612"/>
        <item m="1" x="3847"/>
        <item m="1" x="3906"/>
        <item m="1" x="3225"/>
        <item m="1" x="2061"/>
        <item m="1" x="4041"/>
        <item m="1" x="207"/>
        <item m="1" x="4137"/>
        <item m="1" x="3061"/>
        <item m="1" x="1539"/>
        <item m="1" x="3666"/>
        <item m="1" x="1593"/>
        <item m="1" x="1278"/>
        <item m="1" x="3273"/>
        <item m="1" x="3386"/>
        <item m="1" x="2228"/>
        <item m="1" x="2208"/>
        <item m="1" x="1408"/>
        <item m="1" x="374"/>
        <item m="1" x="3438"/>
        <item m="1" x="3977"/>
        <item m="1" x="1136"/>
        <item m="1" x="4110"/>
        <item m="1" x="3623"/>
        <item m="1" x="1914"/>
        <item m="1" x="2447"/>
        <item m="1" x="218"/>
        <item m="1" x="3215"/>
        <item m="1" x="750"/>
        <item m="1" x="1277"/>
        <item m="1" x="3774"/>
        <item m="1" x="3058"/>
        <item m="1" x="3867"/>
        <item m="1" x="2065"/>
        <item m="1" x="946"/>
        <item m="1" x="1958"/>
        <item m="1" x="1095"/>
        <item m="1" x="1160"/>
        <item m="1" x="2851"/>
        <item m="1" x="835"/>
        <item m="1" x="2521"/>
        <item m="1" x="889"/>
        <item m="1" x="1321"/>
        <item m="1" x="488"/>
        <item m="1" x="227"/>
        <item m="1" x="737"/>
        <item m="1" x="1522"/>
        <item m="1" x="1139"/>
        <item m="1" x="341"/>
        <item m="1" x="398"/>
        <item m="1" x="3973"/>
        <item m="1" x="206"/>
        <item m="1" x="962"/>
        <item m="1" x="4123"/>
        <item m="1" x="557"/>
        <item m="1" x="2967"/>
        <item m="1" x="1673"/>
        <item m="1" x="3686"/>
        <item m="1" x="912"/>
        <item m="1" x="2345"/>
        <item m="1" x="1401"/>
        <item m="1" x="2426"/>
        <item m="1" x="3052"/>
        <item m="1" x="1270"/>
        <item m="1" x="166"/>
        <item m="1" x="3958"/>
        <item m="1" x="3984"/>
        <item m="1" x="981"/>
        <item m="1" x="2994"/>
        <item m="1" x="2869"/>
        <item m="1" x="3874"/>
        <item m="1" x="515"/>
        <item m="1" x="2559"/>
        <item m="1" x="2761"/>
        <item m="1" x="980"/>
        <item m="1" x="3550"/>
        <item m="1" x="170"/>
        <item m="1" x="2190"/>
        <item m="1" x="3045"/>
        <item m="1" x="3239"/>
        <item m="1" x="2046"/>
        <item m="1" x="1623"/>
        <item m="1" x="1845"/>
        <item m="1" x="3775"/>
        <item m="1" x="1770"/>
        <item m="1" x="2162"/>
        <item m="1" x="116"/>
        <item m="1" x="1554"/>
        <item m="1" x="3967"/>
        <item m="1" x="1424"/>
        <item m="1" x="44"/>
        <item m="1" x="1293"/>
        <item m="1" x="3794"/>
        <item m="1" x="2235"/>
        <item m="1" x="3166"/>
        <item m="1" x="1984"/>
        <item m="1" x="92"/>
        <item m="1" x="2341"/>
        <item m="1" x="867"/>
        <item m="1" x="719"/>
        <item m="1" x="1339"/>
        <item m="1" x="325"/>
        <item m="1" x="1093"/>
        <item m="1" x="3022"/>
        <item m="1" x="1650"/>
        <item m="1" x="1142"/>
        <item m="1" x="2974"/>
        <item m="1" x="2475"/>
        <item m="1" x="725"/>
        <item m="1" x="86"/>
        <item m="1" x="3517"/>
        <item m="1" x="3265"/>
        <item m="1" x="4147"/>
        <item m="1" x="727"/>
        <item m="1" x="3537"/>
        <item m="1" x="1185"/>
        <item m="1" x="1753"/>
        <item m="1" x="2285"/>
        <item m="1" x="2494"/>
        <item m="1" x="4087"/>
        <item m="1" x="3710"/>
        <item m="1" x="4120"/>
        <item m="1" x="937"/>
        <item m="1" x="1290"/>
        <item m="1" x="397"/>
        <item m="1" x="2588"/>
        <item m="1" x="570"/>
        <item m="1" x="3810"/>
        <item m="1" x="4143"/>
        <item m="1" x="3185"/>
        <item m="1" x="2257"/>
        <item m="1" x="4141"/>
        <item m="1" x="1966"/>
        <item m="1" x="3880"/>
        <item m="1" x="303"/>
        <item m="1" x="289"/>
        <item m="1" x="2311"/>
        <item m="1" x="3547"/>
        <item m="1" x="1860"/>
        <item m="1" x="3453"/>
        <item m="1" x="1549"/>
        <item m="1" x="404"/>
        <item m="1" x="2828"/>
        <item m="1" x="2840"/>
        <item m="1" x="159"/>
        <item m="1" x="772"/>
        <item m="1" x="2309"/>
        <item m="1" x="1610"/>
        <item m="1" x="3636"/>
        <item m="1" x="705"/>
        <item m="1" x="3745"/>
        <item m="1" x="2110"/>
        <item m="1" x="2750"/>
        <item m="1" x="1820"/>
        <item m="1" x="365"/>
        <item x="5"/>
        <item m="1" x="3834"/>
        <item m="1" x="1762"/>
        <item m="1" x="3281"/>
        <item m="1" x="2227"/>
        <item m="1" x="2726"/>
        <item m="1" x="4024"/>
        <item m="1" x="1179"/>
        <item m="1" x="3345"/>
        <item m="1" x="3446"/>
        <item m="1" x="1456"/>
        <item m="1" x="2943"/>
        <item m="1" x="3501"/>
        <item m="1" x="584"/>
        <item m="1" x="1796"/>
        <item m="1" x="3920"/>
        <item m="1" x="248"/>
        <item m="1" x="3147"/>
        <item m="1" x="2108"/>
        <item m="1" x="2462"/>
        <item m="1" x="1363"/>
        <item m="1" x="4196"/>
        <item m="1" x="4013"/>
        <item m="1" x="101"/>
        <item m="1" x="2176"/>
        <item m="1" x="257"/>
        <item m="1" x="106"/>
        <item m="1" x="2082"/>
        <item m="1" x="1949"/>
        <item m="1" x="1726"/>
        <item m="1" x="200"/>
        <item m="1" x="1829"/>
        <item m="1" x="1240"/>
        <item m="1" x="1247"/>
        <item m="1" x="2530"/>
        <item m="1" x="3248"/>
        <item m="1" x="1675"/>
        <item m="1" x="2150"/>
        <item m="1" x="1026"/>
        <item m="1" x="2240"/>
        <item m="1" x="3075"/>
        <item m="1" x="3004"/>
        <item m="1" x="2094"/>
        <item m="1" x="1224"/>
        <item m="1" x="683"/>
        <item m="1" x="830"/>
        <item m="1" x="564"/>
        <item m="1" x="975"/>
        <item m="1" x="2958"/>
        <item m="1" x="3021"/>
        <item m="1" x="3176"/>
        <item m="1" x="451"/>
        <item m="1" x="3786"/>
        <item m="1" x="3631"/>
        <item m="1" x="1736"/>
        <item m="1" x="3342"/>
        <item m="1" x="3711"/>
        <item m="1" x="3555"/>
        <item m="1" x="873"/>
        <item m="1" x="3725"/>
        <item m="1" x="1082"/>
        <item m="1" x="2121"/>
        <item m="1" x="1141"/>
        <item m="1" x="3126"/>
        <item m="1" x="3337"/>
        <item m="1" x="713"/>
        <item m="1" x="1510"/>
        <item m="1" x="4189"/>
        <item m="1" x="440"/>
        <item m="1" x="3366"/>
        <item m="1" x="1231"/>
        <item m="1" x="3930"/>
        <item m="1" x="1677"/>
        <item m="1" x="1229"/>
        <item m="1" x="1124"/>
        <item m="1" x="3749"/>
        <item m="1" x="647"/>
        <item m="1" x="3807"/>
        <item m="1" x="4102"/>
        <item m="1" x="3915"/>
        <item m="1" x="1465"/>
        <item m="1" x="1649"/>
        <item m="1" x="3851"/>
        <item m="1" x="73"/>
        <item m="1" x="490"/>
        <item m="1" x="3511"/>
        <item m="1" x="1786"/>
        <item m="1" x="610"/>
        <item m="1" x="1629"/>
        <item m="1" x="2499"/>
        <item m="1" x="332"/>
        <item m="1" x="1100"/>
        <item m="1" x="2348"/>
        <item m="1" x="495"/>
        <item m="1" x="3329"/>
        <item m="1" x="1793"/>
        <item m="1" x="865"/>
        <item m="1" x="747"/>
        <item m="1" x="347"/>
        <item m="1" x="2163"/>
        <item m="1" x="2165"/>
        <item m="1" x="88"/>
        <item m="1" x="3270"/>
        <item m="1" x="3966"/>
        <item m="1" x="2714"/>
        <item m="1" x="807"/>
        <item m="1" x="1509"/>
        <item m="1" x="827"/>
        <item m="1" x="357"/>
        <item m="1" x="2752"/>
        <item m="1" x="3199"/>
        <item m="1" x="3111"/>
        <item m="1" x="2592"/>
        <item m="1" x="1686"/>
        <item m="1" x="1807"/>
        <item m="1" x="875"/>
        <item m="1" x="3398"/>
        <item m="1" x="574"/>
        <item m="1" x="4209"/>
        <item m="1" x="1126"/>
        <item m="1" x="3107"/>
        <item m="1" x="2998"/>
        <item m="1" x="1300"/>
        <item m="1" x="2359"/>
        <item m="1" x="2603"/>
        <item m="1" x="2391"/>
        <item m="1" x="722"/>
        <item m="1" x="2645"/>
        <item m="1" x="2989"/>
        <item m="1" x="2517"/>
        <item m="1" x="4088"/>
        <item m="1" x="4062"/>
        <item m="1" x="1916"/>
        <item m="1" x="3530"/>
        <item m="1" x="3792"/>
        <item m="1" x="3945"/>
        <item m="1" x="2329"/>
        <item m="1" x="1765"/>
        <item m="1" x="710"/>
        <item m="1" x="3905"/>
        <item m="1" x="2753"/>
        <item m="1" x="401"/>
        <item m="1" x="2541"/>
        <item m="1" x="1371"/>
        <item m="1" x="567"/>
        <item m="1" x="3965"/>
        <item m="1" x="1464"/>
        <item m="1" x="1639"/>
        <item m="1" x="876"/>
        <item m="1" x="794"/>
        <item m="1" x="874"/>
        <item m="1" x="2088"/>
        <item m="1" x="2571"/>
        <item m="1" x="691"/>
        <item m="1" x="1717"/>
        <item m="1" x="587"/>
        <item m="1" x="422"/>
        <item m="1" x="453"/>
        <item m="1" x="3051"/>
        <item m="1" x="2492"/>
        <item m="1" x="377"/>
        <item m="1" x="134"/>
        <item m="1" x="1658"/>
        <item m="1" x="193"/>
        <item m="1" x="2579"/>
        <item m="1" x="1597"/>
        <item m="1" x="3824"/>
        <item m="1" x="699"/>
        <item m="1" x="4192"/>
        <item m="1" x="3521"/>
        <item m="1" x="382"/>
        <item m="1" x="383"/>
        <item m="1" x="2604"/>
        <item m="1" x="1655"/>
        <item m="1" x="1980"/>
        <item m="1" x="3713"/>
        <item m="1" x="4133"/>
        <item m="1" x="1355"/>
        <item m="1" x="414"/>
        <item m="1" x="2450"/>
        <item m="1" x="3626"/>
        <item m="1" x="758"/>
        <item m="1" x="3931"/>
        <item m="1" x="412"/>
        <item m="1" x="3254"/>
        <item m="1" x="3933"/>
        <item m="1" x="3922"/>
        <item m="1" x="1174"/>
        <item m="1" x="61"/>
        <item m="1" x="2734"/>
        <item m="1" x="2813"/>
        <item m="1" x="1922"/>
        <item m="1" x="1051"/>
        <item m="1" x="3893"/>
        <item m="1" x="1232"/>
        <item m="1" x="1341"/>
        <item m="1" x="3407"/>
        <item m="1" x="2030"/>
        <item m="1" x="3110"/>
        <item m="1" x="1006"/>
        <item m="1" x="1883"/>
        <item m="1" x="707"/>
        <item m="1" x="3504"/>
        <item m="1" x="2844"/>
        <item m="1" x="1177"/>
        <item m="1" x="2718"/>
        <item m="1" x="311"/>
        <item m="1" x="3077"/>
        <item m="1" x="2238"/>
        <item m="1" x="2582"/>
        <item m="1" x="2316"/>
        <item m="1" x="301"/>
        <item m="1" x="2487"/>
        <item m="1" x="3274"/>
        <item m="1" x="3003"/>
        <item m="1" x="291"/>
        <item m="1" x="2491"/>
        <item m="1" x="3946"/>
        <item m="1" x="2657"/>
        <item m="1" x="585"/>
        <item m="1" x="1965"/>
        <item m="1" x="2845"/>
        <item m="1" x="2881"/>
        <item m="1" x="3214"/>
        <item m="1" x="541"/>
        <item m="1" x="2314"/>
        <item m="1" x="2433"/>
        <item m="1" x="3038"/>
        <item m="1" x="2717"/>
        <item m="1" x="2159"/>
        <item m="1" x="3516"/>
        <item m="1" x="1253"/>
        <item m="1" x="1009"/>
        <item m="1" x="3767"/>
        <item m="1" x="2324"/>
        <item m="1" x="3976"/>
        <item m="1" x="1256"/>
        <item m="1" x="3455"/>
        <item m="1" x="1683"/>
        <item m="1" x="1801"/>
        <item m="1" x="1671"/>
        <item m="1" x="1897"/>
        <item m="1" x="2448"/>
        <item m="1" x="1700"/>
        <item m="1" x="1668"/>
        <item m="1" x="974"/>
        <item m="1" x="3437"/>
        <item m="1" x="2443"/>
        <item m="1" x="2867"/>
        <item m="1" x="2854"/>
        <item m="1" x="419"/>
        <item m="1" x="2866"/>
        <item m="1" x="2292"/>
        <item m="1" x="20"/>
        <item m="1" x="1911"/>
        <item m="1" x="1567"/>
        <item m="1" x="3755"/>
        <item m="1" x="994"/>
        <item m="1" x="8"/>
        <item m="1" x="1577"/>
        <item m="1" x="2334"/>
        <item m="1" x="3130"/>
        <item m="1" x="2326"/>
        <item m="1" x="352"/>
        <item m="1" x="936"/>
        <item m="1" x="2959"/>
        <item m="1" x="3764"/>
        <item m="1" x="1479"/>
        <item m="1" x="1377"/>
        <item m="1" x="2139"/>
        <item m="1" x="448"/>
        <item m="1" x="4213"/>
        <item m="1" x="1145"/>
        <item m="1" x="1825"/>
        <item m="1" x="2847"/>
        <item m="1" x="2497"/>
        <item m="1" x="2965"/>
        <item m="1" x="988"/>
        <item m="1" x="1595"/>
        <item m="1" x="4090"/>
        <item m="1" x="1106"/>
        <item m="1" x="3702"/>
        <item m="1" x="1372"/>
        <item m="1" x="568"/>
        <item m="1" x="2290"/>
        <item m="1" x="3901"/>
        <item m="1" x="430"/>
        <item m="1" x="3635"/>
        <item m="1" x="3833"/>
        <item m="1" x="1394"/>
        <item m="1" x="538"/>
        <item m="1" x="3892"/>
        <item m="1" x="492"/>
        <item m="1" x="3925"/>
        <item m="1" x="969"/>
        <item m="1" x="1741"/>
        <item m="1" x="76"/>
        <item m="1" x="139"/>
        <item m="1" x="3508"/>
        <item m="1" x="1445"/>
        <item m="1" x="2490"/>
        <item m="1" x="3480"/>
        <item m="1" x="2328"/>
        <item m="1" x="626"/>
        <item m="1" x="3068"/>
        <item m="1" x="196"/>
        <item m="1" x="3144"/>
        <item m="1" x="2746"/>
        <item m="1" x="3499"/>
        <item m="1" x="38"/>
        <item m="1" x="1501"/>
        <item m="1" x="843"/>
        <item m="1" x="279"/>
        <item m="1" x="2961"/>
        <item m="1" x="704"/>
        <item m="1" x="2837"/>
        <item m="1" x="98"/>
        <item m="1" x="3007"/>
        <item m="1" x="1745"/>
        <item m="1" x="555"/>
        <item m="1" x="2259"/>
        <item m="1" x="3548"/>
        <item m="1" x="186"/>
        <item m="1" x="3072"/>
        <item m="1" x="2513"/>
        <item m="1" x="2805"/>
        <item m="1" x="1654"/>
        <item m="1" x="1631"/>
        <item m="1" x="3023"/>
        <item m="1" x="3082"/>
        <item m="1" x="1919"/>
        <item m="1" x="1557"/>
        <item m="1" x="2668"/>
        <item m="1" x="2271"/>
        <item m="1" x="345"/>
        <item m="1" x="996"/>
        <item m="1" x="1943"/>
        <item m="1" x="3943"/>
        <item m="1" x="2146"/>
        <item m="1" x="2040"/>
        <item m="1" x="955"/>
        <item m="1" x="4030"/>
        <item m="1" x="729"/>
        <item m="1" x="2977"/>
        <item m="1" x="1987"/>
        <item m="1" x="394"/>
        <item m="1" x="3663"/>
        <item m="1" x="3826"/>
        <item m="1" x="2308"/>
        <item m="1" x="628"/>
        <item m="1" x="1582"/>
        <item m="1" x="3340"/>
        <item m="1" x="1874"/>
        <item m="1" x="2981"/>
        <item m="1" x="11"/>
        <item m="1" x="2919"/>
        <item m="1" x="2231"/>
        <item m="1" x="2027"/>
        <item m="1" x="551"/>
        <item m="1" x="1029"/>
        <item m="1" x="1329"/>
        <item m="1" x="3317"/>
        <item m="1" x="3678"/>
        <item m="1" x="3309"/>
        <item m="1" x="439"/>
        <item m="1" x="4207"/>
        <item m="1" x="3244"/>
        <item m="1" x="832"/>
        <item m="1" x="95"/>
        <item m="1" x="3100"/>
        <item m="1" x="2951"/>
        <item m="1" x="3339"/>
        <item m="1" x="2307"/>
        <item m="1" x="2304"/>
        <item m="1" x="2940"/>
        <item m="1" x="688"/>
        <item m="1" x="2642"/>
        <item m="1" x="4071"/>
        <item m="1" x="902"/>
        <item m="1" x="3272"/>
        <item m="1" x="1420"/>
        <item m="1" x="1155"/>
        <item m="1" x="52"/>
        <item m="1" x="2612"/>
        <item m="1" x="3643"/>
        <item m="1" x="2026"/>
        <item m="1" x="837"/>
        <item m="1" x="2947"/>
        <item m="1" x="1933"/>
        <item m="1" x="2201"/>
        <item m="1" x="176"/>
        <item m="1" x="425"/>
        <item m="1" x="1953"/>
        <item m="1" x="1795"/>
        <item m="1" x="646"/>
        <item m="1" x="380"/>
        <item m="1" x="162"/>
        <item m="1" x="3070"/>
        <item m="1" x="583"/>
        <item m="1" x="2032"/>
        <item m="1" x="919"/>
        <item m="1" x="2195"/>
        <item m="1" x="4183"/>
        <item m="1" x="1652"/>
        <item m="1" x="2606"/>
        <item m="1" x="4101"/>
        <item m="1" x="3954"/>
        <item m="1" x="3697"/>
        <item m="1" x="3064"/>
        <item m="1" x="1928"/>
        <item m="1" x="3283"/>
        <item m="1" x="3916"/>
        <item m="1" x="1788"/>
        <item m="1" x="2544"/>
        <item m="1" x="1099"/>
        <item m="1" x="28"/>
        <item m="1" x="546"/>
        <item m="1" x="3179"/>
        <item m="1" x="842"/>
        <item m="1" x="2289"/>
        <item m="1" x="3249"/>
        <item m="1" x="1957"/>
        <item m="1" x="3457"/>
        <item m="1" x="1466"/>
        <item m="1" x="4015"/>
        <item m="1" x="1343"/>
        <item m="1" x="2670"/>
        <item m="1" x="4215"/>
        <item m="1" x="3422"/>
        <item m="1" x="2787"/>
        <item m="1" x="1942"/>
        <item m="1" x="965"/>
        <item m="1" x="4136"/>
        <item m="1" x="687"/>
        <item m="1" x="4103"/>
        <item m="1" x="1638"/>
        <item m="1" x="296"/>
        <item m="1" x="2777"/>
        <item m="1" x="173"/>
        <item m="1" x="3461"/>
        <item m="1" x="3869"/>
        <item m="1" x="3886"/>
        <item m="1" x="4142"/>
        <item m="1" x="1553"/>
        <item m="1" x="2757"/>
        <item m="1" x="3495"/>
        <item m="1" x="3191"/>
        <item m="1" x="3656"/>
        <item m="1" x="1620"/>
        <item m="1" x="2797"/>
        <item m="1" x="4139"/>
        <item m="1" x="3078"/>
        <item m="1" x="1630"/>
        <item m="1" x="909"/>
        <item m="1" x="2256"/>
        <item m="1" x="72"/>
        <item m="1" x="3624"/>
        <item m="1" x="3205"/>
        <item m="1" x="2344"/>
        <item m="1" x="1241"/>
        <item m="1" x="1165"/>
        <item m="1" x="317"/>
        <item m="1" x="2214"/>
        <item m="1" x="3727"/>
        <item m="1" x="1719"/>
        <item m="1" x="803"/>
        <item m="1" x="1587"/>
        <item m="1" x="1131"/>
        <item m="1" x="2042"/>
        <item m="1" x="1672"/>
        <item m="1" x="3687"/>
        <item m="1" x="259"/>
        <item m="1" x="3418"/>
        <item m="1" x="3864"/>
        <item m="1" x="1850"/>
        <item m="1" x="217"/>
        <item m="1" x="3614"/>
        <item m="1" x="4067"/>
        <item m="1" x="83"/>
        <item m="1" x="945"/>
        <item m="1" x="2376"/>
        <item m="1" x="2895"/>
        <item m="1" x="3621"/>
        <item m="1" x="857"/>
        <item m="1" x="2654"/>
        <item m="1" x="858"/>
        <item m="1" x="1384"/>
        <item m="1" x="3410"/>
        <item m="1" x="125"/>
        <item m="1" x="2996"/>
        <item m="1" x="2698"/>
        <item m="1" x="3514"/>
        <item m="1" x="1657"/>
        <item m="1" x="3331"/>
        <item m="1" x="339"/>
        <item m="1" x="1547"/>
        <item m="1" x="2226"/>
        <item m="1" x="126"/>
        <item m="1" x="1505"/>
        <item m="1" x="1730"/>
        <item m="1" x="2254"/>
        <item m="1" x="2751"/>
        <item m="1" x="663"/>
        <item m="1" x="1021"/>
        <item m="1" x="42"/>
        <item m="1" x="1137"/>
        <item m="1" x="4082"/>
        <item m="1" x="1237"/>
        <item m="1" x="4111"/>
        <item m="1" x="3709"/>
        <item m="1" x="2583"/>
        <item m="1" x="1135"/>
        <item m="1" x="2663"/>
        <item m="1" x="3975"/>
        <item m="1" x="3757"/>
        <item m="1" x="1084"/>
        <item m="1" x="894"/>
        <item m="1" x="3817"/>
        <item m="1" x="661"/>
        <item m="1" x="2653"/>
        <item m="1" x="2982"/>
        <item m="1" x="958"/>
        <item m="1" x="511"/>
        <item m="1" x="1168"/>
        <item m="1" x="566"/>
        <item m="1" x="1344"/>
        <item m="1" x="3389"/>
        <item m="1" x="3178"/>
        <item m="1" x="2428"/>
        <item m="1" x="2278"/>
        <item m="1" x="2803"/>
        <item m="1" x="826"/>
        <item m="1" x="1288"/>
        <item m="1" x="2542"/>
        <item m="1" x="2295"/>
        <item m="1" x="1302"/>
        <item m="1" x="2865"/>
        <item m="1" x="2738"/>
        <item m="1" x="3802"/>
        <item m="1" x="1751"/>
        <item m="1" x="3424"/>
        <item m="1" x="2432"/>
        <item m="1" x="685"/>
        <item m="1" x="2029"/>
        <item m="1" x="1945"/>
        <item m="1" x="1814"/>
        <item m="1" x="520"/>
        <item m="1" x="3259"/>
        <item m="1" x="3831"/>
        <item m="1" x="1580"/>
        <item m="1" x="3062"/>
        <item m="1" x="3451"/>
        <item m="1" x="37"/>
        <item m="1" x="1064"/>
        <item m="1" x="4050"/>
        <item m="1" x="1612"/>
        <item m="1" x="3573"/>
        <item m="1" x="613"/>
        <item m="1" x="2669"/>
        <item m="1" x="2936"/>
        <item m="1" x="2444"/>
        <item m="1" x="3353"/>
        <item m="1" x="1227"/>
        <item m="1" x="1809"/>
        <item m="1" x="1888"/>
        <item m="1" x="4130"/>
        <item m="1" x="2184"/>
        <item m="1" x="27"/>
        <item m="1" x="1251"/>
        <item m="1" x="3787"/>
        <item m="1" x="1346"/>
        <item m="1" x="1113"/>
        <item m="1" x="1057"/>
        <item m="1" x="4212"/>
        <item m="1" x="4131"/>
        <item m="1" x="1868"/>
        <item m="1" x="3129"/>
        <item m="1" x="4150"/>
        <item m="1" x="1335"/>
        <item m="1" x="808"/>
        <item m="1" x="445"/>
        <item m="1" x="302"/>
        <item m="1" x="3859"/>
        <item m="1" x="878"/>
        <item m="1" x="3645"/>
        <item m="1" x="269"/>
        <item m="1" x="2873"/>
        <item m="1" x="254"/>
        <item m="1" x="3081"/>
        <item m="1" x="225"/>
        <item m="1" x="1418"/>
        <item m="1" x="2991"/>
        <item m="1" x="2486"/>
        <item m="1" x="1298"/>
        <item m="1" x="2667"/>
        <item m="1" x="556"/>
        <item m="1" x="195"/>
        <item m="1" x="987"/>
        <item m="1" x="2484"/>
        <item m="1" x="1969"/>
        <item m="1" x="1007"/>
        <item m="1" x="2236"/>
        <item m="1" x="4044"/>
        <item m="1" x="2234"/>
        <item m="1" x="1747"/>
        <item m="1" x="2269"/>
        <item m="1" x="3312"/>
        <item m="1" x="1072"/>
        <item m="1" x="25"/>
        <item m="1" x="3585"/>
        <item m="1" x="1015"/>
        <item m="1" x="809"/>
        <item m="1" x="2172"/>
        <item m="1" x="3213"/>
        <item m="1" x="508"/>
        <item m="1" x="670"/>
        <item m="1" x="2363"/>
        <item m="1" x="2984"/>
        <item m="1" x="90"/>
        <item m="1" x="3190"/>
        <item m="1" x="622"/>
        <item m="1" x="3627"/>
        <item m="1" x="4194"/>
        <item m="1" x="2531"/>
        <item m="1" x="2349"/>
        <item m="1" x="1572"/>
        <item m="1" x="2319"/>
        <item m="1" x="2466"/>
        <item m="1" x="2524"/>
        <item m="1" x="577"/>
        <item m="1" x="238"/>
        <item m="1" x="478"/>
        <item m="1" x="2822"/>
        <item m="1" x="3564"/>
        <item m="1" x="1607"/>
        <item m="1" x="3853"/>
        <item m="1" x="1242"/>
        <item m="1" x="2132"/>
        <item m="1" x="2476"/>
        <item m="1" x="643"/>
        <item m="1" x="718"/>
        <item m="1" x="2878"/>
        <item m="1" x="3311"/>
        <item m="1" x="1380"/>
        <item m="1" x="127"/>
        <item m="1" x="3165"/>
        <item m="1" x="1463"/>
        <item m="1" x="336"/>
        <item m="1" x="742"/>
        <item m="1" x="472"/>
        <item m="1" x="2251"/>
        <item m="1" x="1244"/>
        <item m="1" x="1971"/>
        <item m="1" x="3768"/>
        <item m="1" x="3226"/>
        <item m="1" x="2861"/>
        <item m="1" x="3518"/>
        <item m="1" x="761"/>
        <item m="1" x="3395"/>
        <item m="1" x="956"/>
        <item m="1" x="3474"/>
        <item m="1" x="3140"/>
        <item m="1" x="1325"/>
        <item m="1" x="891"/>
        <item m="1" x="2664"/>
        <item m="1" x="2394"/>
        <item m="1" x="944"/>
        <item m="1" x="63"/>
        <item m="1" x="4185"/>
        <item m="1" x="3908"/>
        <item m="1" x="3694"/>
        <item m="1" x="51"/>
        <item m="1" x="3949"/>
        <item m="1" x="314"/>
        <item m="1" x="2123"/>
        <item m="1" x="1586"/>
        <item m="1" x="1317"/>
        <item m="1" x="997"/>
        <item m="1" x="1729"/>
        <item m="1" x="1430"/>
        <item m="1" x="85"/>
        <item m="1" x="2597"/>
        <item m="1" x="581"/>
        <item m="1" x="1530"/>
        <item m="1" x="3964"/>
        <item m="1" x="438"/>
        <item m="1" x="3820"/>
        <item x="2"/>
        <item m="1" x="1819"/>
        <item m="1" x="2849"/>
        <item m="1" x="2754"/>
        <item m="1" x="3177"/>
        <item m="1" x="684"/>
        <item m="1" x="3562"/>
        <item m="1" x="2220"/>
        <item m="1" x="1183"/>
        <item m="1" x="220"/>
        <item m="1" x="1373"/>
        <item m="1" x="1053"/>
        <item m="1" x="1031"/>
        <item m="1" x="1462"/>
        <item m="1" x="3006"/>
        <item m="1" x="3551"/>
        <item m="1" x="2939"/>
        <item m="1" x="411"/>
        <item m="1" x="2737"/>
        <item m="1" x="2677"/>
        <item m="1" x="931"/>
        <item m="1" x="2616"/>
        <item m="1" x="3493"/>
        <item m="1" x="4176"/>
        <item m="1" x="3793"/>
        <item m="1" x="3972"/>
        <item m="1" x="2055"/>
        <item m="1" x="3733"/>
        <item m="1" x="702"/>
        <item m="1" x="2010"/>
        <item m="1" x="300"/>
        <item m="1" x="3435"/>
        <item m="1" x="1378"/>
        <item m="1" x="3604"/>
        <item m="1" x="3544"/>
        <item m="1" x="466"/>
        <item m="1" x="3995"/>
        <item m="1" x="2972"/>
        <item m="1" x="2225"/>
        <item m="1" x="659"/>
        <item m="1" x="805"/>
        <item m="1" x="1446"/>
        <item m="1" x="3054"/>
        <item m="1" x="3850"/>
        <item m="1" x="494"/>
        <item m="1" x="2355"/>
        <item m="1" x="3689"/>
        <item m="1" x="3076"/>
        <item m="1" x="3769"/>
        <item m="1" x="2907"/>
        <item m="1" x="836"/>
        <item m="1" x="759"/>
        <item m="1" x="3035"/>
        <item m="1" x="1182"/>
        <item m="1" x="3637"/>
        <item m="1" x="256"/>
        <item m="1" x="1495"/>
        <item m="1" x="3800"/>
        <item m="1" x="144"/>
        <item m="1" x="3161"/>
        <item m="1" x="1255"/>
        <item m="1" x="1514"/>
        <item m="1" x="4157"/>
        <item m="1" x="1393"/>
        <item m="1" x="2274"/>
        <item m="1" x="1873"/>
        <item m="1" x="757"/>
        <item m="1" x="2760"/>
        <item m="1" x="2624"/>
        <item m="1" x="447"/>
        <item m="1" x="1865"/>
        <item m="1" x="330"/>
        <item m="1" x="2136"/>
        <item m="1" x="2107"/>
        <item m="1" x="2683"/>
        <item m="1" x="767"/>
        <item m="1" x="850"/>
        <item m="1" x="3402"/>
        <item m="1" x="250"/>
        <item m="1" x="2001"/>
        <item m="1" x="1857"/>
        <item m="1" x="3876"/>
        <item m="1" x="1030"/>
        <item m="1" x="3928"/>
        <item m="1" x="957"/>
        <item m="1" x="2399"/>
        <item m="1" x="770"/>
        <item m="1" x="667"/>
        <item m="1" x="2821"/>
        <item m="1" x="1564"/>
        <item m="1" x="949"/>
        <item m="1" x="1806"/>
        <item m="1" x="1285"/>
        <item m="1" x="2774"/>
        <item m="1" x="4159"/>
        <item m="1" x="32"/>
        <item m="1" x="4002"/>
        <item m="1" x="1715"/>
        <item m="1" x="3642"/>
        <item m="1" x="3556"/>
        <item m="1" x="1598"/>
        <item m="1" x="3260"/>
        <item m="1" x="3500"/>
        <item m="1" x="2671"/>
        <item m="1" x="814"/>
        <item m="1" x="899"/>
        <item m="1" x="3463"/>
        <item m="1" x="4056"/>
        <item m="1" x="3250"/>
        <item m="1" x="1917"/>
        <item m="1" x="1459"/>
        <item m="1" x="3849"/>
        <item m="1" x="1491"/>
        <item m="1" x="3048"/>
        <item m="1" x="3476"/>
        <item m="1" x="726"/>
        <item m="1" x="1356"/>
        <item m="1" x="458"/>
        <item m="1" x="3927"/>
        <item m="1" x="3673"/>
        <item m="1" x="3974"/>
        <item m="1" x="1794"/>
        <item m="1" x="3401"/>
        <item m="1" x="3754"/>
        <item m="1" x="3494"/>
        <item m="1" x="2375"/>
        <item m="1" x="2781"/>
        <item m="1" x="2568"/>
        <item m="1" x="2317"/>
        <item m="1" x="1636"/>
        <item m="1" x="2914"/>
        <item m="1" x="3565"/>
        <item m="1" x="615"/>
        <item m="1" x="1071"/>
        <item m="1" x="3182"/>
        <item m="1" x="3625"/>
        <item m="1" x="4153"/>
        <item m="1" x="510"/>
        <item m="1" x="1452"/>
        <item m="1" x="629"/>
        <item m="1" x="3423"/>
        <item m="1" x="1940"/>
        <item m="1" x="3421"/>
        <item m="1" x="4106"/>
        <item m="1" x="600"/>
        <item m="1" x="2472"/>
        <item m="1" x="933"/>
        <item m="1" x="3298"/>
        <item m="1" x="3040"/>
        <item m="1" x="1381"/>
        <item m="1" x="2074"/>
        <item m="1" x="1711"/>
        <item m="1" x="3305"/>
        <item m="1" x="3845"/>
        <item m="1" x="2525"/>
        <item m="1" x="4095"/>
        <item m="1" x="2054"/>
        <item m="1" x="4008"/>
        <item m="1" x="4085"/>
        <item m="1" x="2545"/>
        <item m="1" x="823"/>
        <item m="1" x="740"/>
        <item m="1" x="2692"/>
        <item m="1" x="648"/>
        <item m="1" x="3734"/>
        <item m="1" x="3520"/>
        <item m="1" x="3563"/>
        <item m="1" x="471"/>
        <item m="1" x="2913"/>
        <item m="1" x="1642"/>
        <item m="1" x="2230"/>
        <item m="1" x="3230"/>
        <item m="1" x="3055"/>
        <item m="1" x="3952"/>
        <item m="1" x="2089"/>
        <item m="1" x="2756"/>
        <item m="1" x="4166"/>
        <item m="1" x="2997"/>
        <item m="1" x="1579"/>
        <item m="1" x="662"/>
        <item m="1" x="896"/>
        <item m="1" x="787"/>
        <item m="1" x="3433"/>
        <item m="1" x="801"/>
        <item m="1" x="907"/>
        <item m="1" x="232"/>
        <item m="1" x="3706"/>
        <item m="1" x="3425"/>
        <item m="1" x="4146"/>
        <item m="1" x="1334"/>
        <item m="1" x="1383"/>
        <item m="1" x="3351"/>
        <item m="1" x="4208"/>
        <item m="1" x="3400"/>
        <item m="1" x="1340"/>
        <item m="1" x="2767"/>
        <item m="1" x="1702"/>
        <item m="1" x="748"/>
        <item m="1" x="2323"/>
        <item m="1" x="2224"/>
        <item m="1" x="4010"/>
        <item m="1" x="1375"/>
        <item m="1" x="3877"/>
        <item m="1" x="1992"/>
        <item m="1" x="3979"/>
        <item m="1" x="153"/>
        <item m="1" x="634"/>
        <item m="1" x="2684"/>
        <item m="1" x="1755"/>
        <item m="1" x="3141"/>
        <item m="1" x="1967"/>
        <item m="1" x="2764"/>
        <item m="1" x="2338"/>
        <item m="1" x="110"/>
        <item m="1" x="2575"/>
        <item m="1" x="2693"/>
        <item m="1" x="971"/>
        <item m="1" x="2119"/>
        <item m="1" x="3114"/>
        <item m="1" x="3899"/>
        <item m="1" x="3005"/>
        <item m="1" x="3714"/>
        <item m="1" x="1903"/>
        <item m="1" x="1034"/>
        <item m="1" x="1666"/>
        <item m="1" x="3659"/>
        <item m="1" x="1382"/>
        <item m="1" x="2340"/>
        <item m="1" x="2900"/>
        <item m="1" x="731"/>
        <item m="1" x="3542"/>
        <item m="1" x="1195"/>
        <item m="1" x="2352"/>
        <item m="1" x="160"/>
        <item m="1" x="2780"/>
        <item m="1" x="2607"/>
        <item m="1" x="2064"/>
        <item m="1" x="132"/>
        <item m="1" x="1714"/>
        <item m="1" x="1693"/>
        <item m="1" x="2701"/>
        <item m="1" x="1822"/>
        <item m="1" x="2935"/>
        <item m="1" x="1111"/>
        <item m="1" x="2923"/>
        <item m="1" x="2598"/>
        <item m="1" x="363"/>
        <item m="1" x="2188"/>
        <item m="1" x="505"/>
        <item m="1" x="1443"/>
        <item m="1" x="3962"/>
        <item m="1" x="102"/>
        <item m="1" x="2918"/>
        <item m="1" x="1687"/>
        <item m="1" x="442"/>
        <item m="1" x="3579"/>
        <item m="1" x="3341"/>
        <item m="1" x="3934"/>
        <item m="1" x="3884"/>
        <item m="1" x="4104"/>
        <item m="1" x="3717"/>
        <item m="1" x="3665"/>
        <item m="1" x="789"/>
        <item m="1" x="3985"/>
        <item m="1" x="1250"/>
        <item m="1" x="3657"/>
        <item m="1" x="1442"/>
        <item m="1" x="1304"/>
        <item m="1" x="1882"/>
        <item m="1" x="3302"/>
        <item m="1" x="3167"/>
        <item m="1" x="782"/>
        <item m="1" x="3467"/>
        <item m="1" x="293"/>
        <item m="1" x="450"/>
        <item m="1" x="856"/>
        <item m="1" x="724"/>
        <item m="1" x="2017"/>
        <item m="1" x="2007"/>
        <item m="1" x="1846"/>
        <item m="1" x="743"/>
        <item m="1" x="3202"/>
        <item m="1" x="2386"/>
        <item m="1" x="2103"/>
        <item m="1" x="1531"/>
        <item m="1" x="864"/>
        <item m="1" x="1617"/>
        <item m="1" x="3458"/>
        <item m="1" x="2605"/>
        <item m="1" x="3381"/>
        <item m="1" x="2464"/>
        <item m="1" x="572"/>
        <item m="1" x="3234"/>
        <item m="1" x="882"/>
        <item m="1" x="2357"/>
        <item m="1" x="1400"/>
        <item m="1" x="3721"/>
        <item m="1" x="1189"/>
        <item m="1" x="2482"/>
        <item m="1" x="268"/>
        <item m="1" x="514"/>
        <item m="1" x="2570"/>
        <item m="1" x="4011"/>
        <item m="1" x="1358"/>
        <item m="1" x="2080"/>
        <item m="1" x="3133"/>
        <item m="1" x="3602"/>
        <item m="1" x="1864"/>
        <item m="1" x="3139"/>
        <item m="1" x="1294"/>
        <item m="1" x="1257"/>
        <item m="1" x="951"/>
        <item m="1" x="3605"/>
        <item m="1" x="1542"/>
        <item m="1" x="2296"/>
        <item m="1" x="2775"/>
        <item m="1" x="1054"/>
        <item m="1" x="3156"/>
        <item m="1" x="241"/>
        <item m="1" x="1782"/>
        <item m="1" x="115"/>
        <item m="1" x="1941"/>
        <item m="1" x="2902"/>
        <item m="1" x="2250"/>
        <item m="1" x="906"/>
        <item m="1" x="2400"/>
        <item m="1" x="1847"/>
        <item m="1" x="2288"/>
        <item m="1" x="2858"/>
        <item m="1" x="1283"/>
        <item m="1" x="1291"/>
        <item m="1" x="2207"/>
        <item m="1" x="1925"/>
        <item m="1" x="2539"/>
        <item m="1" x="4108"/>
        <item m="1" x="2650"/>
        <item m="1" x="1563"/>
        <item m="1" x="237"/>
        <item m="1" x="499"/>
        <item m="1" x="2842"/>
        <item m="1" x="2313"/>
        <item m="1" x="804"/>
        <item m="1" x="3279"/>
        <item m="1" x="3159"/>
        <item m="1" x="3186"/>
        <item m="1" x="502"/>
        <item m="1" x="599"/>
        <item m="1" x="4191"/>
        <item m="1" x="1188"/>
        <item m="1" x="589"/>
        <item m="1" x="1263"/>
        <item m="1" x="3684"/>
        <item m="1" x="3572"/>
        <item m="1" x="3252"/>
        <item m="1" x="979"/>
        <item m="1" x="3434"/>
        <item m="1" x="841"/>
        <item m="1" x="690"/>
        <item m="1" x="2931"/>
        <item m="1" x="2455"/>
        <item m="1" x="4092"/>
        <item m="1" x="2596"/>
        <item m="1" x="4121"/>
        <item m="1" x="1759"/>
        <item m="1" x="3158"/>
        <item m="1" x="3560"/>
        <item m="1" x="2707"/>
        <item m="1" x="1061"/>
        <item m="1" x="1225"/>
        <item m="1" x="1146"/>
        <item m="1" x="2912"/>
        <item m="1" x="1492"/>
        <item m="1" x="717"/>
        <item m="1" x="1641"/>
        <item m="1" x="323"/>
        <item m="1" x="3373"/>
        <item m="1" x="485"/>
        <item m="1" x="2034"/>
        <item m="1" x="1893"/>
        <item m="1" x="828"/>
        <item m="1" x="2171"/>
        <item m="1" x="3581"/>
        <item m="1" x="1680"/>
        <item m="1" x="3992"/>
        <item m="1" x="2924"/>
        <item m="1" x="3482"/>
        <item m="1" x="3352"/>
        <item m="1" x="3503"/>
        <item m="1" x="2897"/>
        <item m="1" x="2221"/>
        <item m="1" x="1047"/>
        <item m="1" x="1212"/>
        <item m="1" x="754"/>
        <item m="1" x="3338"/>
        <item m="1" x="2748"/>
        <item m="1" x="1033"/>
        <item m="1" x="3000"/>
        <item m="1" x="2333"/>
        <item m="1" x="402"/>
        <item m="1" x="67"/>
        <item m="1" x="1707"/>
        <item m="1" x="2096"/>
        <item m="1" x="3629"/>
        <item m="1" x="1166"/>
        <item m="1" x="481"/>
        <item m="1" x="1516"/>
        <item m="1" x="1915"/>
        <item m="1" x="4059"/>
        <item m="1" x="939"/>
        <item m="1" x="1989"/>
        <item m="1" x="3870"/>
        <item m="1" x="935"/>
        <item m="1" x="2818"/>
        <item m="1" x="112"/>
        <item m="1" x="2725"/>
        <item m="1" x="2382"/>
        <item m="1" x="2140"/>
        <item m="1" x="3034"/>
        <item m="1" x="2681"/>
        <item m="1" x="3502"/>
        <item m="1" x="1856"/>
        <item m="1" x="1877"/>
        <item m="1" x="1905"/>
        <item m="1" x="2512"/>
        <item m="1" x="290"/>
        <item m="1" x="2421"/>
        <item m="1" x="2623"/>
        <item m="1" x="3890"/>
        <item m="1" x="2894"/>
        <item m="1" x="2412"/>
        <item m="1" x="1929"/>
        <item m="1" x="607"/>
        <item m="1" x="2478"/>
        <item m="1" x="236"/>
        <item m="1" x="3380"/>
        <item m="1" x="2674"/>
        <item m="1" x="4152"/>
        <item m="1" x="3358"/>
        <item m="1" x="3153"/>
        <item m="1" x="2283"/>
        <item m="1" x="2137"/>
        <item m="1" x="943"/>
        <item m="1" x="721"/>
        <item m="1" x="736"/>
        <item m="1" x="4063"/>
        <item x="0"/>
        <item m="1" x="3917"/>
        <item m="1" x="2593"/>
        <item m="1" x="753"/>
        <item m="1" x="1482"/>
        <item m="1" x="1206"/>
        <item m="1" x="2109"/>
        <item m="1" x="335"/>
        <item m="1" x="3365"/>
        <item m="1" x="2025"/>
        <item m="1" x="859"/>
        <item m="1" x="3071"/>
        <item m="1" x="3991"/>
        <item m="1" x="2439"/>
        <item m="1" x="503"/>
        <item m="1" x="262"/>
        <item m="1" x="3785"/>
        <item m="1" x="234"/>
        <item m="1" x="2417"/>
        <item m="1" x="3394"/>
        <item m="1" x="2599"/>
        <item m="1" x="2886"/>
        <item m="1" x="2908"/>
        <item m="1" x="1489"/>
        <item m="1" x="1880"/>
        <item m="1" x="1963"/>
        <item m="1" x="3858"/>
        <item m="1" x="2815"/>
        <item m="1" x="881"/>
        <item m="1" x="2784"/>
        <item m="1" x="3600"/>
        <item m="1" x="973"/>
        <item m="1" x="1089"/>
        <item m="1" x="1737"/>
        <item m="1" x="1066"/>
        <item m="1" x="3364"/>
        <item m="1" x="2378"/>
        <item m="1" x="2395"/>
        <item m="1" x="3608"/>
        <item m="1" x="3118"/>
        <item m="1" x="3105"/>
        <item m="1" x="2765"/>
        <item m="1" x="386"/>
        <item m="1" x="129"/>
        <item m="1" x="4171"/>
        <item m="1" x="765"/>
        <item m="1" x="3112"/>
        <item m="1" x="3132"/>
        <item m="1" x="2591"/>
        <item m="1" x="1603"/>
        <item m="1" x="124"/>
        <item m="1" x="3017"/>
        <item m="1" x="18"/>
        <item m="1" x="2320"/>
        <item m="1" x="3448"/>
        <item m="1" x="3708"/>
        <item m="1" x="483"/>
        <item m="1" x="1773"/>
        <item m="1" x="2095"/>
        <item m="1" x="3720"/>
        <item m="1" x="1311"/>
        <item m="1" x="1504"/>
        <item m="1" x="3770"/>
        <item m="1" x="501"/>
        <item m="1" x="3028"/>
        <item m="1" x="2911"/>
        <item m="1" x="3613"/>
        <item m="1" x="3300"/>
        <item m="1" x="3653"/>
        <item m="1" x="2850"/>
        <item m="1" x="2216"/>
        <item m="1" x="2795"/>
        <item m="1" x="1909"/>
        <item m="1" x="926"/>
        <item m="1" x="71"/>
        <item m="1" x="3633"/>
        <item m="1" x="3192"/>
        <item m="1" x="1120"/>
        <item m="1" x="1169"/>
        <item m="1" x="3262"/>
        <item m="1" x="3790"/>
        <item m="1" x="1709"/>
        <item m="1" x="3693"/>
        <item m="1" x="1541"/>
        <item m="1" x="1338"/>
        <item m="1" x="3456"/>
        <item m="1" x="3217"/>
        <item m="1" x="2347"/>
        <item m="1" x="1761"/>
        <item m="1" x="3018"/>
        <item m="1" x="2785"/>
        <item m="1" x="1506"/>
        <item m="1" x="817"/>
        <item m="1" x="2917"/>
        <item m="1" x="2217"/>
        <item x="3"/>
        <item m="1" x="1669"/>
        <item m="1" x="3650"/>
        <item m="1" x="3445"/>
        <item m="1" x="449"/>
        <item m="1" x="443"/>
        <item m="1" x="1403"/>
        <item m="1" x="4116"/>
        <item m="1" x="1739"/>
        <item m="1" x="554"/>
        <item m="1" x="2778"/>
        <item m="1" x="4009"/>
        <item m="1" x="1312"/>
        <item m="1" x="698"/>
        <item m="1" x="3310"/>
        <item m="1" x="210"/>
        <item m="1" x="1885"/>
        <item m="1" x="2111"/>
        <item m="1" x="1310"/>
        <item m="1" x="4184"/>
        <item m="1" x="623"/>
        <item m="1" x="2688"/>
        <item m="1" x="2620"/>
        <item m="1" x="1973"/>
        <item m="1" x="1520"/>
        <item m="1" x="77"/>
        <item m="1" x="2794"/>
        <item m="1" x="616"/>
        <item m="1" x="1347"/>
        <item m="1" x="1776"/>
        <item m="1" x="2056"/>
        <item m="1" x="2676"/>
        <item m="1" x="1592"/>
        <item m="1" x="180"/>
        <item m="1" x="2124"/>
        <item m="1" x="141"/>
        <item m="1" x="1116"/>
        <item m="1" x="1562"/>
        <item m="1" x="2830"/>
        <item m="1" x="1127"/>
        <item m="1" x="2870"/>
        <item m="1" x="3319"/>
        <item m="1" x="2114"/>
        <item m="1" x="3707"/>
        <item m="1" x="2060"/>
        <item m="1" x="174"/>
        <item m="1" x="3610"/>
        <item m="1" x="4091"/>
        <item m="1" x="2429"/>
        <item m="1" x="3738"/>
        <item m="1" x="3369"/>
        <item m="1" x="869"/>
        <item m="1" x="3148"/>
        <item m="1" x="2388"/>
        <item m="1" x="792"/>
        <item m="1" x="3569"/>
        <item m="1" x="4070"/>
        <item m="1" x="535"/>
        <item m="1" x="4163"/>
        <item m="1" x="744"/>
        <item m="1" x="1635"/>
        <item m="1" x="3137"/>
        <item m="1" x="282"/>
        <item m="1" x="2498"/>
        <item m="1" x="297"/>
        <item m="1" x="1661"/>
        <item m="1" x="917"/>
        <item m="1" x="3832"/>
        <item m="1" x="3008"/>
        <item m="1" x="185"/>
        <item m="1" x="3525"/>
        <item m="1" x="2580"/>
        <item m="1" x="3218"/>
        <item m="1" x="2215"/>
        <item m="1" x="639"/>
        <item m="1" x="2168"/>
        <item m="1" x="3477"/>
        <item m="1" x="3669"/>
        <item m="1" x="2189"/>
        <item m="1" x="208"/>
        <item m="1" x="62"/>
        <item m="1" x="4162"/>
        <item m="1" x="105"/>
        <item m="1" x="1035"/>
        <item m="1" x="3316"/>
        <item m="1" x="812"/>
        <item m="1" x="1461"/>
        <item m="1" x="2682"/>
        <item m="1" x="4073"/>
        <item m="1" x="507"/>
        <item m="1" x="2733"/>
        <item m="1" x="1529"/>
        <item m="1" x="2052"/>
        <item m="1" x="2033"/>
        <item m="1" x="1602"/>
        <item m="1" x="4190"/>
        <item m="1" x="9"/>
        <item m="1" x="4156"/>
        <item m="1" x="3208"/>
        <item m="1" x="1944"/>
        <item m="1" x="1938"/>
        <item m="1" x="1236"/>
        <item m="1" x="1152"/>
        <item m="1" x="214"/>
        <item m="1" x="2749"/>
        <item m="1" x="108"/>
        <item m="1" x="3756"/>
        <item m="1" x="202"/>
        <item m="1" x="3903"/>
        <item m="1" x="1102"/>
        <item m="1" x="3255"/>
        <item m="1" x="2789"/>
        <item m="1" x="3419"/>
        <item m="1" x="1879"/>
        <item m="1" x="2520"/>
        <item m="1" x="1781"/>
        <item m="1" x="4205"/>
        <item m="1" x="619"/>
        <item m="1" x="695"/>
        <item m="1" x="152"/>
        <item m="1" x="2050"/>
        <item m="1" x="1875"/>
        <item m="1" x="1872"/>
        <item m="1" x="1870"/>
        <item m="1" x="2291"/>
        <item m="1" x="992"/>
        <item m="1" x="3911"/>
        <item m="1" x="3384"/>
        <item m="1" x="3322"/>
        <item m="1" x="2446"/>
        <item m="1" x="364"/>
        <item m="1" x="198"/>
        <item m="1" x="549"/>
        <item m="1" x="2956"/>
        <item m="1" x="403"/>
        <item m="1" x="2889"/>
        <item m="1" x="1059"/>
        <item m="1" x="4158"/>
        <item m="1" x="4155"/>
        <item x="1"/>
        <item m="1" x="2629"/>
        <item m="1" x="3595"/>
        <item m="1" x="4065"/>
        <item m="1" x="700"/>
        <item m="1" x="258"/>
        <item m="1" x="3782"/>
        <item m="1" x="3211"/>
        <item m="1" x="465"/>
        <item m="1" x="3468"/>
        <item m="1" x="2127"/>
        <item m="1" x="1986"/>
        <item m="1" x="2411"/>
        <item m="1" x="2771"/>
        <item m="1" x="2890"/>
        <item m="1" x="2883"/>
        <item m="1" x="3998"/>
        <item m="1" x="2572"/>
        <item m="1" x="565"/>
        <item m="1" x="3492"/>
        <item m="1" x="2148"/>
        <item m="1" x="2960"/>
        <item m="1" x="2995"/>
        <item m="1" x="2686"/>
        <item m="1" x="855"/>
        <item m="1" x="3343"/>
        <item m="1" x="2011"/>
        <item m="1" x="3603"/>
        <item m="1" x="3598"/>
        <item m="1" x="2161"/>
        <item m="1" x="2277"/>
        <item m="1" x="3484"/>
        <item m="1" x="2680"/>
        <item m="1" x="2244"/>
        <item m="1" x="985"/>
        <item m="1" x="367"/>
        <item m="1" x="783"/>
        <item m="1" x="3866"/>
        <item m="1" x="886"/>
        <item m="1" x="2128"/>
        <item m="1" x="1815"/>
        <item m="1" x="4113"/>
        <item m="1" x="84"/>
        <item m="1" x="307"/>
        <item m="1" x="1122"/>
        <item m="1" x="934"/>
        <item m="1" x="3496"/>
        <item m="1" x="2916"/>
        <item m="1" x="2565"/>
        <item m="1" x="543"/>
        <item m="1" x="1303"/>
        <item m="1" x="378"/>
        <item m="1" x="2727"/>
        <item m="1" x="436"/>
        <item m="1" x="432"/>
        <item m="1" x="592"/>
        <item m="1" x="1450"/>
        <item m="1" x="2691"/>
        <item m="1" x="509"/>
        <item m="1" x="2332"/>
        <item m="1" x="1855"/>
        <item m="1" x="1760"/>
        <item m="1" x="3704"/>
        <item m="1" x="4053"/>
        <item m="1" x="2155"/>
        <item m="1" x="265"/>
        <item m="1" x="21"/>
        <item m="1" x="413"/>
        <item m="1" x="2610"/>
        <item m="1" x="2404"/>
        <item m="1" x="130"/>
        <item m="1" x="150"/>
        <item m="1" x="3644"/>
        <item m="1" x="637"/>
        <item m="1" x="1245"/>
        <item m="1" x="295"/>
        <item m="1" x="2493"/>
        <item m="1" x="2416"/>
        <item m="1" x="3128"/>
        <item m="1" x="2811"/>
        <item m="1" x="2431"/>
        <item m="1" x="3246"/>
        <item m="1" x="3347"/>
        <item m="1" x="1162"/>
        <item m="1" x="1983"/>
        <item m="1" x="2976"/>
        <item m="1" x="197"/>
        <item m="1" x="1803"/>
        <item m="1" x="2632"/>
        <item m="1" x="3193"/>
        <item m="1" x="3668"/>
        <item m="1" x="3667"/>
        <item m="1" x="1147"/>
        <item m="1" x="2631"/>
        <item m="1" x="3761"/>
        <item m="1" x="4080"/>
        <item m="1" x="1170"/>
        <item m="1" x="1190"/>
        <item m="1" x="1454"/>
        <item m="1" x="1663"/>
        <item m="1" x="3538"/>
        <item m="1" x="2969"/>
        <item m="1" x="1978"/>
        <item m="1" x="3411"/>
        <item m="1" x="1838"/>
        <item m="1" x="2410"/>
        <item m="1" x="2377"/>
        <item m="1" x="791"/>
        <item m="1" x="2153"/>
        <item m="1" x="306"/>
        <item m="1" x="1032"/>
        <item m="1" x="81"/>
        <item m="1" x="1282"/>
        <item m="1" x="1565"/>
        <item m="1" x="2206"/>
        <item m="1" x="2798"/>
        <item m="1" x="3947"/>
        <item m="1" x="3356"/>
        <item m="1" x="1434"/>
        <item m="1" x="4016"/>
        <item m="1" x="868"/>
        <item m="1" x="2552"/>
        <item m="1" x="3443"/>
        <item m="1" x="4003"/>
        <item m="1" x="586"/>
        <item m="1" x="513"/>
        <item m="1" x="2514"/>
        <item m="1" x="3566"/>
        <item m="1" x="1478"/>
        <item m="1" x="3681"/>
        <item m="1" x="3680"/>
        <item m="1" x="2072"/>
        <item m="1" x="1123"/>
        <item m="1" x="2856"/>
        <item m="1" x="3941"/>
        <item m="1" x="2241"/>
        <item m="1" x="1019"/>
        <item m="1" x="2473"/>
        <item m="1" x="1292"/>
        <item m="1" x="3086"/>
        <item m="1" x="3297"/>
        <item m="1" x="245"/>
        <item m="1" x="2564"/>
        <item m="1" x="1143"/>
        <item m="1" x="3286"/>
        <item m="1" x="518"/>
        <item m="1" x="182"/>
        <item m="1" x="2988"/>
        <item m="1" x="2465"/>
        <item m="1" x="539"/>
        <item m="1" x="537"/>
        <item m="1" x="3532"/>
        <item m="1" x="1802"/>
        <item m="1" x="2547"/>
        <item m="1" x="2589"/>
        <item m="1" x="3431"/>
        <item m="1" x="3898"/>
        <item m="1" x="3777"/>
        <item m="1" x="1718"/>
        <item m="1" x="1954"/>
        <item m="1" x="4037"/>
        <item m="1" x="2401"/>
        <item m="1" x="941"/>
        <item m="1" x="3816"/>
        <item m="1" x="3658"/>
        <item m="1" x="2896"/>
        <item m="1" x="2191"/>
        <item m="1" x="319"/>
        <item m="1" x="2406"/>
        <item m="1" x="3863"/>
        <item m="1" x="2327"/>
        <item m="1" x="1767"/>
        <item m="1" x="2062"/>
        <item m="1" x="840"/>
        <item m="1" x="3705"/>
        <item m="1" x="3703"/>
        <item m="1" x="2437"/>
        <item m="1" x="4145"/>
        <item m="1" x="3189"/>
        <item m="1" x="2131"/>
        <item m="1" x="3580"/>
        <item m="1" x="2384"/>
        <item m="1" x="2210"/>
        <item m="1" x="3236"/>
        <item m="1" x="3011"/>
        <item m="1" x="2253"/>
        <item m="1" x="3719"/>
        <item m="1" x="3788"/>
        <item m="1" x="3808"/>
        <item m="1" x="2156"/>
        <item m="1" x="2759"/>
        <item m="1" x="3519"/>
        <item m="1" x="3799"/>
        <item m="1" x="1192"/>
        <item m="1" x="1104"/>
        <item m="1" x="4109"/>
        <item m="1" x="4001"/>
        <item m="1" x="1811"/>
        <item m="1" x="3527"/>
        <item m="1" x="1433"/>
        <item m="1" x="2200"/>
        <item m="1" x="1115"/>
        <item m="1" x="1448"/>
        <item m="1" x="70"/>
        <item m="1" x="2273"/>
        <item m="1" x="3046"/>
        <item m="1" x="3044"/>
        <item m="1" x="3258"/>
        <item m="1" x="219"/>
        <item m="1" x="1196"/>
        <item m="1" x="3907"/>
        <item m="1" x="1324"/>
        <item m="1" x="1320"/>
        <item m="1" x="1011"/>
        <item m="1" x="3412"/>
        <item m="1" x="1016"/>
        <item m="1" x="4204"/>
        <item m="1" x="1985"/>
        <item m="1" x="2087"/>
        <item m="1" x="2655"/>
        <item m="1" x="2662"/>
        <item m="1" x="1186"/>
        <item m="1" x="1004"/>
        <item m="1" x="2120"/>
        <item m="1" x="4178"/>
        <item m="1" x="3093"/>
        <item m="1" x="2820"/>
        <item m="1" x="3652"/>
        <item m="1" x="3360"/>
        <item m="1" x="1396"/>
        <item m="1" x="3478"/>
        <item m="1" x="2665"/>
        <item m="1" x="2229"/>
        <item m="1" x="3481"/>
        <item m="1" x="1477"/>
        <item m="1" x="1474"/>
        <item m="1" x="3447"/>
        <item m="1" x="3285"/>
        <item m="1" x="1780"/>
        <item m="1" x="1785"/>
        <item m="1" x="2523"/>
        <item m="1" x="703"/>
        <item m="1" x="1306"/>
        <item m="1" x="961"/>
        <item m="1" x="833"/>
        <item m="1" x="3759"/>
        <item m="1" x="2039"/>
        <item m="1" x="2018"/>
        <item m="1" x="2280"/>
        <item m="1" x="4198"/>
        <item m="1" x="847"/>
        <item m="1" x="784"/>
        <item m="1" x="3862"/>
        <item m="1" x="1037"/>
        <item m="1" x="3498"/>
        <item m="1" x="1824"/>
        <item m="1" x="3948"/>
        <item m="1" x="3415"/>
        <item m="1" x="2550"/>
        <item m="1" x="1129"/>
        <item m="1" x="2076"/>
        <item m="1" x="3855"/>
        <item m="1" x="3996"/>
        <item m="1" x="1272"/>
        <item m="1" x="2067"/>
        <item m="1" x="3376"/>
        <item m="1" x="158"/>
        <item m="1" x="915"/>
        <item m="1" x="462"/>
        <item m="1" x="755"/>
        <item m="1" x="966"/>
        <item m="1" x="2321"/>
        <item m="1" x="1013"/>
        <item m="1" x="1154"/>
        <item m="1" x="2418"/>
        <item m="1" x="1843"/>
        <item m="1" x="2846"/>
        <item m="1" x="1840"/>
        <item m="1" x="664"/>
        <item m="1" x="1267"/>
        <item m="1" x="3839"/>
        <item m="1" x="2533"/>
        <item m="1" x="399"/>
        <item m="1" x="611"/>
        <item m="1" x="1748"/>
        <item m="1" x="4054"/>
        <item m="1" x="3582"/>
        <item m="1" x="3910"/>
        <item m="1" x="29"/>
        <item m="1" x="475"/>
        <item m="1" x="473"/>
        <item m="1" x="468"/>
        <item m="1" x="3696"/>
        <item m="1" x="3957"/>
        <item m="1" x="3956"/>
        <item m="1" x="2651"/>
        <item m="1" x="2792"/>
        <item m="1" x="635"/>
        <item m="1" x="682"/>
        <item m="1" x="1588"/>
        <item m="1" x="1023"/>
        <item m="1" x="1352"/>
        <item m="1" x="496"/>
        <item m="1" x="3723"/>
        <item m="1" x="2003"/>
        <item m="1" x="4094"/>
        <item m="1" x="486"/>
        <item m="1" x="2679"/>
        <item m="1" x="1982"/>
        <item m="1" x="1036"/>
        <item m="1" x="1913"/>
        <item m="1" x="376"/>
        <item m="1" x="1923"/>
        <item m="1" x="1775"/>
        <item m="1" x="1281"/>
        <item m="1" x="950"/>
        <item m="1" x="405"/>
        <item m="1" x="606"/>
        <item m="1" x="2090"/>
        <item m="1" x="3811"/>
        <item m="1" x="1315"/>
        <item m="1" x="2044"/>
        <item m="1" x="3766"/>
        <item m="1" x="2489"/>
        <item m="1" x="400"/>
        <item m="1" x="393"/>
        <item m="1" x="2021"/>
        <item m="1" x="3989"/>
        <item m="1" x="1218"/>
        <item m="1" x="3959"/>
        <item m="1" x="1091"/>
        <item m="1" x="1087"/>
        <item m="1" x="2293"/>
        <item m="1" x="3904"/>
        <item m="1" x="94"/>
        <item m="1" x="420"/>
        <item m="1" x="2267"/>
        <item m="1" x="4021"/>
        <item m="1" x="1662"/>
        <item m="1" x="2101"/>
        <item m="1" x="3512"/>
        <item m="1" x="1979"/>
        <item m="1" x="545"/>
        <item m="1" x="3919"/>
        <item m="1" x="49"/>
        <item m="1" x="3060"/>
        <item m="1" x="2736"/>
        <item m="1" x="3349"/>
        <item m="1" x="2449"/>
        <item m="1" x="679"/>
        <item m="1" x="4097"/>
        <item m="1" x="880"/>
        <item m="1" x="2973"/>
        <item m="1" x="2690"/>
        <item m="1" x="3982"/>
        <item m="1" x="3491"/>
        <item m="1" x="1854"/>
        <item m="1" x="2824"/>
        <item m="1" x="1128"/>
        <item m="1" x="1305"/>
        <item m="1" x="1471"/>
        <item m="1" x="921"/>
        <item m="1" x="2743"/>
        <item m="1" x="2735"/>
        <item m="1" x="493"/>
        <item m="1" x="1826"/>
        <item m="1" x="2510"/>
        <item m="1" x="2921"/>
        <item m="1" x="2112"/>
        <item m="1" x="3913"/>
        <item m="1" x="630"/>
        <item m="1" x="3136"/>
        <item m="1" x="356"/>
        <item m="1" x="3103"/>
        <item m="1" x="389"/>
        <item m="1" x="3097"/>
        <item m="1" x="2223"/>
        <item m="1" x="2500"/>
        <item m="1" x="522"/>
        <item m="1" x="2643"/>
        <item m="1" x="2380"/>
        <item m="1" x="3741"/>
        <item m="1" x="1269"/>
        <item m="1" x="1266"/>
        <item m="1" x="1265"/>
        <item m="1" x="3639"/>
        <item m="1" x="3753"/>
        <item m="1" x="2079"/>
        <item m="1" x="2024"/>
        <item m="1" x="3020"/>
        <item m="1" x="1800"/>
        <item m="1" x="617"/>
        <item m="1" x="1512"/>
        <item m="1" x="2362"/>
        <item m="1" x="3378"/>
        <item m="1" x="1230"/>
        <item m="1" x="650"/>
        <item m="1" x="609"/>
        <item m="1" x="2022"/>
        <item m="1" x="2020"/>
        <item m="1" x="2019"/>
        <item m="1" x="708"/>
        <item m="1" x="1121"/>
        <item m="1" x="689"/>
        <item m="1" x="813"/>
        <item m="1" x="2205"/>
        <item m="1" x="2496"/>
        <item m="1" x="712"/>
        <item m="1" x="4058"/>
        <item m="1" x="3993"/>
        <item m="1" x="424"/>
        <item m="1" x="1791"/>
        <item m="1" x="235"/>
        <item m="1" x="3739"/>
        <item m="1" x="292"/>
        <item m="1" x="1056"/>
        <item m="1" x="2152"/>
        <item m="1" x="13"/>
        <item m="1" x="2700"/>
        <item m="1" x="2574"/>
        <item m="1" x="2453"/>
        <item m="1" x="920"/>
        <item m="1" x="1112"/>
        <item m="1" x="3326"/>
        <item m="1" x="255"/>
        <item m="1" x="3047"/>
        <item m="1" x="786"/>
        <item m="1" x="223"/>
        <item m="1" x="2729"/>
        <item m="1" x="2425"/>
        <item m="1" x="2423"/>
        <item m="1" x="3228"/>
        <item m="1" x="2925"/>
        <item m="1" x="1591"/>
        <item m="1" x="3536"/>
        <item m="1" x="2946"/>
        <item m="1" x="652"/>
        <item m="1" x="2933"/>
        <item m="1" x="460"/>
        <item m="1" x="1316"/>
        <item m="1" x="2672"/>
        <item m="1" x="1818"/>
        <item m="1" x="1018"/>
        <item m="1" x="954"/>
        <item m="1" x="2614"/>
        <item m="1" x="2372"/>
        <item m="1" x="3414"/>
        <item m="1" x="1365"/>
        <item m="1" x="4027"/>
        <item m="1" x="2776"/>
        <item m="1" x="135"/>
        <item m="1" x="1640"/>
        <item m="1" x="2361"/>
        <item m="1" x="1368"/>
        <item m="1" x="3789"/>
        <item m="1" x="3841"/>
        <item m="1" x="2149"/>
        <item m="1" x="2145"/>
        <item m="1" x="354"/>
        <item m="1" x="2848"/>
        <item m="1" x="1008"/>
        <item m="1" x="3065"/>
        <item m="1" x="3063"/>
        <item m="1" x="2248"/>
        <item m="1" x="2247"/>
        <item m="1" x="2712"/>
        <item m="1" x="2709"/>
        <item m="1" x="1645"/>
        <item m="1" x="2722"/>
        <item m="1" x="2719"/>
        <item m="1" x="1233"/>
        <item m="1" x="1867"/>
        <item m="1" x="1685"/>
        <item m="1" x="1337"/>
        <item m="1" x="853"/>
        <item m="1" x="1871"/>
        <item m="1" x="1869"/>
        <item m="1" x="2522"/>
        <item m="1" x="1398"/>
        <item m="1" x="3830"/>
        <item m="1" x="2182"/>
        <item m="1" x="854"/>
        <item m="1" x="852"/>
        <item m="1" x="848"/>
        <item m="1" x="133"/>
        <item m="1" x="552"/>
        <item m="1" x="146"/>
        <item m="1" x="277"/>
        <item m="1" x="31"/>
        <item m="1" x="903"/>
        <item m="1" x="3891"/>
        <item m="1" x="1578"/>
        <item m="1" x="2540"/>
        <item m="1" x="136"/>
        <item m="1" x="900"/>
        <item m="1" x="2393"/>
        <item m="1" x="3388"/>
        <item m="1" x="36"/>
        <item m="1" x="362"/>
        <item m="1" x="1900"/>
        <item x="4"/>
      </items>
    </pivotField>
    <pivotField numFmtId="1" showAll="0" defaultSubtotal="0"/>
    <pivotField showAll="0" defaultSubtotal="0"/>
    <pivotField numFmtId="1" showAll="0" defaultSubtotal="0"/>
    <pivotField showAll="0" defaultSubtotal="0"/>
    <pivotField showAll="0"/>
    <pivotField dataField="1" showAll="0" defaultSubtotal="0"/>
  </pivotFields>
  <rowFields count="2">
    <field x="0"/>
    <field x="2"/>
  </rowFields>
  <rowItems count="1">
    <i t="grand">
      <x/>
    </i>
  </rowItems>
  <colFields count="1">
    <field x="-2"/>
  </colFields>
  <colItems count="2">
    <i>
      <x/>
    </i>
    <i i="1">
      <x v="1"/>
    </i>
  </colItems>
  <dataFields count="2">
    <dataField name="Capacity " fld="8" baseField="0" baseItem="2"/>
    <dataField name="Occupancy  " fld="1" baseField="0" baseItem="2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2000000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25">
  <location ref="A24:B25" firstHeaderRow="1" firstDataRow="1" firstDataCol="1"/>
  <pivotFields count="7">
    <pivotField axis="axisRow" showAll="0">
      <items count="33">
        <item m="1" x="31"/>
        <item h="1" x="14"/>
        <item h="1" m="1" x="17"/>
        <item h="1" m="1" x="19"/>
        <item h="1" m="1" x="22"/>
        <item h="1" x="6"/>
        <item h="1" m="1" x="26"/>
        <item h="1" x="11"/>
        <item h="1" m="1" x="27"/>
        <item h="1" m="1" x="16"/>
        <item h="1" m="1" x="30"/>
        <item h="1" m="1" x="15"/>
        <item h="1" m="1" x="29"/>
        <item h="1" m="1" x="20"/>
        <item h="1" m="1" x="18"/>
        <item h="1" m="1" x="28"/>
        <item h="1" x="7"/>
        <item h="1" x="8"/>
        <item h="1" x="9"/>
        <item h="1" x="0"/>
        <item h="1" x="2"/>
        <item h="1" m="1" x="23"/>
        <item h="1" x="3"/>
        <item h="1" x="10"/>
        <item h="1" x="12"/>
        <item h="1" x="13"/>
        <item h="1" m="1" x="21"/>
        <item h="1" m="1" x="24"/>
        <item h="1" x="4"/>
        <item h="1" x="5"/>
        <item h="1" m="1" x="25"/>
        <item h="1" x="1"/>
        <item t="default"/>
      </items>
    </pivotField>
    <pivotField showAll="0"/>
    <pivotField showAll="0"/>
    <pivotField showAll="0"/>
    <pivotField dataField="1" showAll="0"/>
    <pivotField showAll="0" defaultSubtotal="0"/>
    <pivotField showAll="0"/>
  </pivotFields>
  <rowFields count="1">
    <field x="0"/>
  </rowFields>
  <rowItems count="1">
    <i t="grand">
      <x/>
    </i>
  </rowItems>
  <colItems count="1">
    <i/>
  </colItems>
  <dataFields count="1">
    <dataField name="Sum of Unoccupied Space" fld="4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1000000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81">
  <location ref="A1:B2" firstHeaderRow="1" firstDataRow="1" firstDataCol="1"/>
  <pivotFields count="7">
    <pivotField axis="axisRow" showAll="0" sortType="descending" defaultSubtotal="0">
      <items count="32">
        <item h="1" m="1" x="31"/>
        <item h="1" x="14"/>
        <item m="1" x="17"/>
        <item h="1" m="1" x="19"/>
        <item h="1" m="1" x="22"/>
        <item h="1" x="6"/>
        <item h="1" m="1" x="26"/>
        <item h="1" x="11"/>
        <item m="1" x="27"/>
        <item h="1" m="1" x="16"/>
        <item h="1" m="1" x="30"/>
        <item h="1" m="1" x="15"/>
        <item h="1" m="1" x="29"/>
        <item h="1" m="1" x="20"/>
        <item h="1" m="1" x="18"/>
        <item h="1" m="1" x="28"/>
        <item h="1" x="7"/>
        <item h="1" x="8"/>
        <item h="1" x="9"/>
        <item h="1" x="0"/>
        <item h="1" x="2"/>
        <item h="1" m="1" x="23"/>
        <item h="1" x="3"/>
        <item h="1" x="10"/>
        <item h="1" x="12"/>
        <item h="1" x="13"/>
        <item h="1" m="1" x="21"/>
        <item h="1" m="1" x="24"/>
        <item h="1" x="4"/>
        <item h="1" x="5"/>
        <item h="1" m="1" x="25"/>
        <item h="1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  <pivotField dataField="1" showAll="0" defaultSubtotal="0"/>
    <pivotField showAll="0" defaultSubtotal="0"/>
    <pivotField showAll="0" defaultSubtotal="0"/>
  </pivotFields>
  <rowFields count="1">
    <field x="0"/>
  </rowFields>
  <rowItems count="1">
    <i t="grand">
      <x/>
    </i>
  </rowItems>
  <colItems count="1">
    <i/>
  </colItems>
  <dataFields count="1">
    <dataField name="Sum of Unoccupied Space" fld="4" baseField="0" baseItem="2"/>
  </dataFields>
  <chartFormats count="1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24">
  <location ref="A51:B52" firstHeaderRow="1" firstDataRow="1" firstDataCol="1"/>
  <pivotFields count="7">
    <pivotField axis="axisRow" showAll="0">
      <items count="33">
        <item m="1" x="31"/>
        <item h="1" x="14"/>
        <item h="1" m="1" x="17"/>
        <item h="1" m="1" x="19"/>
        <item h="1" m="1" x="22"/>
        <item h="1" x="6"/>
        <item h="1" m="1" x="26"/>
        <item h="1" x="11"/>
        <item h="1" m="1" x="27"/>
        <item h="1" m="1" x="16"/>
        <item h="1" m="1" x="30"/>
        <item h="1" m="1" x="15"/>
        <item h="1" m="1" x="29"/>
        <item h="1" m="1" x="20"/>
        <item h="1" m="1" x="18"/>
        <item h="1" m="1" x="28"/>
        <item h="1" x="7"/>
        <item h="1" x="8"/>
        <item h="1" x="9"/>
        <item h="1" x="0"/>
        <item h="1" x="2"/>
        <item h="1" m="1" x="23"/>
        <item h="1" x="3"/>
        <item h="1" x="10"/>
        <item h="1" x="12"/>
        <item h="1" x="13"/>
        <item h="1" m="1" x="21"/>
        <item h="1" m="1" x="24"/>
        <item h="1" x="4"/>
        <item h="1" x="5"/>
        <item h="1" m="1" x="25"/>
        <item h="1" x="1"/>
        <item t="default"/>
      </items>
    </pivotField>
    <pivotField showAll="0"/>
    <pivotField showAll="0"/>
    <pivotField showAll="0"/>
    <pivotField showAll="0"/>
    <pivotField showAll="0" defaultSubtotal="0"/>
    <pivotField dataField="1" showAll="0"/>
  </pivotFields>
  <rowFields count="1">
    <field x="0"/>
  </rowFields>
  <rowItems count="1">
    <i t="grand">
      <x/>
    </i>
  </rowItems>
  <colItems count="1">
    <i/>
  </colItems>
  <dataFields count="1">
    <dataField name="Sum of Actual Sellable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G903" totalsRowShown="0" headerRowDxfId="23" tableBorderDxfId="22">
  <autoFilter ref="A1:G903" xr:uid="{00000000-0009-0000-0100-000001000000}"/>
  <tableColumns count="7">
    <tableColumn id="1" xr3:uid="{00000000-0010-0000-0000-000001000000}" name="Month"/>
    <tableColumn id="2" xr3:uid="{00000000-0010-0000-0000-000002000000}" name="Date" dataDxfId="21"/>
    <tableColumn id="3" xr3:uid="{00000000-0010-0000-0000-000003000000}" name="OFC" dataDxfId="20"/>
    <tableColumn id="4" xr3:uid="{00000000-0010-0000-0000-000004000000}" name="PFC" dataDxfId="19"/>
    <tableColumn id="5" xr3:uid="{00000000-0010-0000-0000-000005000000}" name="EGF" dataDxfId="18"/>
    <tableColumn id="7" xr3:uid="{00000000-0010-0000-0000-000007000000}" name="KFC"/>
    <tableColumn id="6" xr3:uid="{00000000-0010-0000-0000-000006000000}" name="Ja Ela" dataDxf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7.xml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Relationship Id="rId4" Type="http://schemas.openxmlformats.org/officeDocument/2006/relationships/comments" Target="../comments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0.xml"/><Relationship Id="rId4" Type="http://schemas.openxmlformats.org/officeDocument/2006/relationships/table" Target="../tables/table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2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5.v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3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4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K29"/>
  <sheetViews>
    <sheetView workbookViewId="0">
      <selection activeCell="J20" sqref="J20"/>
    </sheetView>
  </sheetViews>
  <sheetFormatPr defaultRowHeight="15" x14ac:dyDescent="0.25"/>
  <cols>
    <col min="2" max="2" width="36.140625" bestFit="1" customWidth="1"/>
    <col min="7" max="7" width="7.28515625" customWidth="1"/>
    <col min="8" max="8" width="39.28515625" customWidth="1"/>
    <col min="11" max="11" width="9.140625" style="17"/>
  </cols>
  <sheetData>
    <row r="1" spans="1:11" x14ac:dyDescent="0.25">
      <c r="A1" s="1" t="s">
        <v>0</v>
      </c>
      <c r="B1" s="1" t="s">
        <v>1</v>
      </c>
      <c r="C1" s="1" t="s">
        <v>2</v>
      </c>
      <c r="E1">
        <f>SUM(C2:C23)</f>
        <v>9624.2772000000004</v>
      </c>
      <c r="G1" s="1" t="s">
        <v>0</v>
      </c>
      <c r="H1" s="1" t="s">
        <v>1</v>
      </c>
    </row>
    <row r="2" spans="1:11" x14ac:dyDescent="0.25">
      <c r="A2" t="s">
        <v>3</v>
      </c>
      <c r="B2" t="s">
        <v>4</v>
      </c>
      <c r="C2">
        <v>331.12880000000001</v>
      </c>
      <c r="E2">
        <f>C6+C7+C14+C16+C17+C22</f>
        <v>936.31150000000014</v>
      </c>
      <c r="G2" t="s">
        <v>3</v>
      </c>
      <c r="H2" t="s">
        <v>4</v>
      </c>
      <c r="K2" s="18" t="s">
        <v>5</v>
      </c>
    </row>
    <row r="3" spans="1:11" x14ac:dyDescent="0.25">
      <c r="A3" t="s">
        <v>3</v>
      </c>
      <c r="B3" t="s">
        <v>6</v>
      </c>
      <c r="C3">
        <v>141.03399999999999</v>
      </c>
      <c r="E3">
        <f>E1-E2</f>
        <v>8687.9657000000007</v>
      </c>
      <c r="G3" t="s">
        <v>3</v>
      </c>
      <c r="H3" t="s">
        <v>6</v>
      </c>
      <c r="K3" s="19" t="s">
        <v>7</v>
      </c>
    </row>
    <row r="4" spans="1:11" x14ac:dyDescent="0.25">
      <c r="A4" t="s">
        <v>3</v>
      </c>
      <c r="B4" t="s">
        <v>8</v>
      </c>
      <c r="C4">
        <v>61.8673</v>
      </c>
      <c r="G4" t="s">
        <v>3</v>
      </c>
      <c r="H4" t="s">
        <v>9</v>
      </c>
      <c r="K4" s="20" t="s">
        <v>10</v>
      </c>
    </row>
    <row r="5" spans="1:11" x14ac:dyDescent="0.25">
      <c r="A5" t="s">
        <v>3</v>
      </c>
      <c r="B5" t="s">
        <v>11</v>
      </c>
      <c r="C5">
        <v>285.25889999999998</v>
      </c>
      <c r="G5" t="s">
        <v>3</v>
      </c>
      <c r="H5" t="s">
        <v>12</v>
      </c>
      <c r="I5">
        <v>1</v>
      </c>
      <c r="K5" s="18" t="s">
        <v>13</v>
      </c>
    </row>
    <row r="6" spans="1:11" x14ac:dyDescent="0.25">
      <c r="A6" s="2" t="s">
        <v>3</v>
      </c>
      <c r="B6" s="2" t="s">
        <v>14</v>
      </c>
      <c r="C6" s="2">
        <v>641.41899999999998</v>
      </c>
      <c r="G6" t="s">
        <v>3</v>
      </c>
      <c r="H6" t="s">
        <v>11</v>
      </c>
      <c r="K6" s="18" t="s">
        <v>15</v>
      </c>
    </row>
    <row r="7" spans="1:11" x14ac:dyDescent="0.25">
      <c r="A7" s="2" t="s">
        <v>3</v>
      </c>
      <c r="B7" s="2" t="s">
        <v>16</v>
      </c>
      <c r="C7" s="2">
        <v>29.137</v>
      </c>
      <c r="G7" t="s">
        <v>3</v>
      </c>
      <c r="H7" t="s">
        <v>8</v>
      </c>
      <c r="K7" s="18" t="s">
        <v>17</v>
      </c>
    </row>
    <row r="8" spans="1:11" x14ac:dyDescent="0.25">
      <c r="A8" t="s">
        <v>3</v>
      </c>
      <c r="B8" t="s">
        <v>18</v>
      </c>
      <c r="C8">
        <v>41.508800000000001</v>
      </c>
      <c r="G8" t="s">
        <v>3</v>
      </c>
      <c r="H8" t="s">
        <v>19</v>
      </c>
      <c r="I8">
        <v>1</v>
      </c>
      <c r="K8" s="18" t="s">
        <v>20</v>
      </c>
    </row>
    <row r="9" spans="1:11" x14ac:dyDescent="0.25">
      <c r="A9" t="s">
        <v>3</v>
      </c>
      <c r="B9" t="s">
        <v>21</v>
      </c>
      <c r="C9">
        <v>1.56</v>
      </c>
      <c r="G9" t="s">
        <v>3</v>
      </c>
      <c r="H9" t="s">
        <v>16</v>
      </c>
      <c r="I9">
        <v>1</v>
      </c>
      <c r="K9" s="18" t="s">
        <v>22</v>
      </c>
    </row>
    <row r="10" spans="1:11" x14ac:dyDescent="0.25">
      <c r="A10" t="s">
        <v>3</v>
      </c>
      <c r="B10" t="s">
        <v>23</v>
      </c>
      <c r="C10">
        <v>0.39200000000000002</v>
      </c>
      <c r="G10" t="s">
        <v>3</v>
      </c>
      <c r="H10" t="s">
        <v>18</v>
      </c>
      <c r="K10" s="19" t="s">
        <v>24</v>
      </c>
    </row>
    <row r="11" spans="1:11" x14ac:dyDescent="0.25">
      <c r="A11" t="s">
        <v>3</v>
      </c>
      <c r="B11" t="s">
        <v>25</v>
      </c>
      <c r="C11">
        <v>1695.6875</v>
      </c>
      <c r="G11" t="s">
        <v>3</v>
      </c>
      <c r="H11" t="s">
        <v>13</v>
      </c>
      <c r="I11">
        <v>1</v>
      </c>
      <c r="K11" s="19" t="s">
        <v>26</v>
      </c>
    </row>
    <row r="12" spans="1:11" x14ac:dyDescent="0.25">
      <c r="A12" t="s">
        <v>3</v>
      </c>
      <c r="B12" t="s">
        <v>27</v>
      </c>
      <c r="C12">
        <v>782.89189999999996</v>
      </c>
      <c r="G12" t="s">
        <v>3</v>
      </c>
      <c r="H12" t="s">
        <v>23</v>
      </c>
      <c r="K12" s="19" t="s">
        <v>12</v>
      </c>
    </row>
    <row r="13" spans="1:11" x14ac:dyDescent="0.25">
      <c r="A13" t="s">
        <v>3</v>
      </c>
      <c r="B13" t="s">
        <v>28</v>
      </c>
      <c r="C13">
        <v>0</v>
      </c>
      <c r="G13" t="s">
        <v>3</v>
      </c>
      <c r="H13" t="s">
        <v>21</v>
      </c>
      <c r="K13" s="18" t="s">
        <v>29</v>
      </c>
    </row>
    <row r="14" spans="1:11" x14ac:dyDescent="0.25">
      <c r="A14" s="2" t="s">
        <v>3</v>
      </c>
      <c r="B14" s="2" t="s">
        <v>30</v>
      </c>
      <c r="C14" s="2">
        <v>61.46</v>
      </c>
      <c r="G14" t="s">
        <v>3</v>
      </c>
      <c r="H14" t="s">
        <v>31</v>
      </c>
      <c r="I14">
        <v>1</v>
      </c>
      <c r="K14" s="18"/>
    </row>
    <row r="15" spans="1:11" x14ac:dyDescent="0.25">
      <c r="A15" t="s">
        <v>3</v>
      </c>
      <c r="B15" t="s">
        <v>32</v>
      </c>
      <c r="C15">
        <v>1.548</v>
      </c>
      <c r="G15" t="s">
        <v>3</v>
      </c>
      <c r="H15" t="s">
        <v>27</v>
      </c>
      <c r="K15" s="18"/>
    </row>
    <row r="16" spans="1:11" x14ac:dyDescent="0.25">
      <c r="A16" s="2" t="s">
        <v>3</v>
      </c>
      <c r="B16" s="2" t="s">
        <v>17</v>
      </c>
      <c r="C16" s="2">
        <v>26.42</v>
      </c>
      <c r="G16" t="s">
        <v>3</v>
      </c>
      <c r="H16" t="s">
        <v>25</v>
      </c>
      <c r="K16" s="18"/>
    </row>
    <row r="17" spans="1:11" x14ac:dyDescent="0.25">
      <c r="A17" s="2" t="s">
        <v>3</v>
      </c>
      <c r="B17" s="2" t="s">
        <v>33</v>
      </c>
      <c r="C17" s="2">
        <v>137.81</v>
      </c>
      <c r="G17" t="s">
        <v>3</v>
      </c>
      <c r="H17" t="s">
        <v>28</v>
      </c>
      <c r="K17" s="21"/>
    </row>
    <row r="18" spans="1:11" x14ac:dyDescent="0.25">
      <c r="A18" t="s">
        <v>3</v>
      </c>
      <c r="B18" t="s">
        <v>34</v>
      </c>
      <c r="C18">
        <v>70.162999999999997</v>
      </c>
      <c r="G18" t="s">
        <v>3</v>
      </c>
      <c r="H18" t="s">
        <v>32</v>
      </c>
      <c r="K18" s="21"/>
    </row>
    <row r="19" spans="1:11" x14ac:dyDescent="0.25">
      <c r="A19" t="s">
        <v>3</v>
      </c>
      <c r="B19" t="s">
        <v>35</v>
      </c>
      <c r="C19">
        <v>8.14</v>
      </c>
      <c r="G19" t="s">
        <v>3</v>
      </c>
      <c r="H19" t="s">
        <v>36</v>
      </c>
      <c r="I19">
        <v>1</v>
      </c>
      <c r="K19" s="21"/>
    </row>
    <row r="20" spans="1:11" x14ac:dyDescent="0.25">
      <c r="A20" t="s">
        <v>3</v>
      </c>
      <c r="B20" t="s">
        <v>22</v>
      </c>
      <c r="C20">
        <v>0.92500000000000004</v>
      </c>
      <c r="G20" t="s">
        <v>3</v>
      </c>
      <c r="H20" t="s">
        <v>30</v>
      </c>
      <c r="I20">
        <v>1</v>
      </c>
      <c r="K20" s="21"/>
    </row>
    <row r="21" spans="1:11" x14ac:dyDescent="0.25">
      <c r="A21" t="s">
        <v>3</v>
      </c>
      <c r="B21" t="s">
        <v>37</v>
      </c>
      <c r="C21">
        <v>5219.9224999999997</v>
      </c>
      <c r="G21" t="s">
        <v>3</v>
      </c>
      <c r="H21" t="s">
        <v>17</v>
      </c>
      <c r="I21">
        <v>1</v>
      </c>
      <c r="K21" s="21"/>
    </row>
    <row r="22" spans="1:11" x14ac:dyDescent="0.25">
      <c r="A22" s="2" t="s">
        <v>3</v>
      </c>
      <c r="B22" s="2" t="s">
        <v>38</v>
      </c>
      <c r="C22" s="2">
        <v>40.0655</v>
      </c>
      <c r="G22" t="s">
        <v>3</v>
      </c>
      <c r="H22" t="s">
        <v>33</v>
      </c>
      <c r="I22">
        <v>1</v>
      </c>
      <c r="K22" s="18"/>
    </row>
    <row r="23" spans="1:11" x14ac:dyDescent="0.25">
      <c r="A23" t="s">
        <v>3</v>
      </c>
      <c r="B23" t="s">
        <v>39</v>
      </c>
      <c r="C23">
        <v>45.938000000000002</v>
      </c>
      <c r="G23" t="s">
        <v>3</v>
      </c>
      <c r="H23" t="s">
        <v>7</v>
      </c>
      <c r="I23">
        <v>1</v>
      </c>
      <c r="K23" s="19"/>
    </row>
    <row r="24" spans="1:11" x14ac:dyDescent="0.25">
      <c r="G24" t="s">
        <v>3</v>
      </c>
      <c r="H24" t="s">
        <v>34</v>
      </c>
      <c r="K24" s="21"/>
    </row>
    <row r="25" spans="1:11" x14ac:dyDescent="0.25">
      <c r="G25" t="s">
        <v>3</v>
      </c>
      <c r="H25" t="s">
        <v>35</v>
      </c>
      <c r="K25" s="19"/>
    </row>
    <row r="26" spans="1:11" x14ac:dyDescent="0.25">
      <c r="G26" t="s">
        <v>3</v>
      </c>
      <c r="H26" t="s">
        <v>22</v>
      </c>
      <c r="I26">
        <v>1</v>
      </c>
      <c r="K26" s="19"/>
    </row>
    <row r="27" spans="1:11" x14ac:dyDescent="0.25">
      <c r="G27" t="s">
        <v>3</v>
      </c>
      <c r="H27" t="s">
        <v>37</v>
      </c>
      <c r="K27" s="18"/>
    </row>
    <row r="28" spans="1:11" x14ac:dyDescent="0.25">
      <c r="G28" t="s">
        <v>3</v>
      </c>
      <c r="H28" t="s">
        <v>38</v>
      </c>
      <c r="I28">
        <v>1</v>
      </c>
    </row>
    <row r="29" spans="1:11" x14ac:dyDescent="0.25">
      <c r="G29" t="s">
        <v>3</v>
      </c>
      <c r="H29" t="s">
        <v>39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H56"/>
  <sheetViews>
    <sheetView topLeftCell="A33" workbookViewId="0">
      <selection activeCell="A53" sqref="A53"/>
    </sheetView>
  </sheetViews>
  <sheetFormatPr defaultRowHeight="15" x14ac:dyDescent="0.25"/>
  <cols>
    <col min="8" max="24" width="12.42578125" customWidth="1"/>
    <col min="25" max="25" width="11.140625" customWidth="1"/>
    <col min="27" max="27" width="9.85546875" customWidth="1"/>
    <col min="28" max="28" width="14.42578125" customWidth="1"/>
    <col min="29" max="29" width="10.140625" customWidth="1"/>
    <col min="30" max="30" width="11.28515625" customWidth="1"/>
    <col min="31" max="31" width="11.140625" customWidth="1"/>
  </cols>
  <sheetData>
    <row r="1" spans="8:34" x14ac:dyDescent="0.25">
      <c r="H1" t="s">
        <v>40</v>
      </c>
    </row>
    <row r="2" spans="8:34" x14ac:dyDescent="0.25">
      <c r="H2" s="11">
        <v>43102</v>
      </c>
      <c r="I2" s="11">
        <v>43104</v>
      </c>
      <c r="J2" s="11">
        <v>43472</v>
      </c>
      <c r="K2" s="11">
        <v>43473</v>
      </c>
      <c r="L2" s="11">
        <v>43474</v>
      </c>
      <c r="M2" s="11">
        <v>43475</v>
      </c>
      <c r="N2" s="11">
        <v>43476</v>
      </c>
      <c r="O2" s="11">
        <v>43479</v>
      </c>
      <c r="P2" s="11">
        <v>43481</v>
      </c>
      <c r="Q2" s="11">
        <v>43483</v>
      </c>
      <c r="R2" s="11">
        <v>43486</v>
      </c>
      <c r="S2" s="11">
        <v>43487</v>
      </c>
      <c r="T2" s="11">
        <v>43489</v>
      </c>
      <c r="U2" s="11">
        <v>43490</v>
      </c>
      <c r="V2" s="11">
        <v>43494</v>
      </c>
      <c r="W2" s="11">
        <v>43495</v>
      </c>
      <c r="X2" s="11">
        <v>43496</v>
      </c>
      <c r="AA2" s="11" t="s">
        <v>41</v>
      </c>
      <c r="AB2" s="5" t="s">
        <v>42</v>
      </c>
      <c r="AC2" s="5" t="s">
        <v>43</v>
      </c>
      <c r="AD2" s="5" t="s">
        <v>44</v>
      </c>
      <c r="AE2" s="5"/>
      <c r="AF2" s="5" t="s">
        <v>45</v>
      </c>
      <c r="AG2" s="4"/>
      <c r="AH2" s="4"/>
    </row>
    <row r="3" spans="8:34" x14ac:dyDescent="0.25">
      <c r="H3" s="10">
        <v>5370</v>
      </c>
      <c r="I3" s="10">
        <v>5392.46</v>
      </c>
      <c r="J3" s="10">
        <v>5477</v>
      </c>
      <c r="K3" s="10">
        <v>5476</v>
      </c>
      <c r="L3" s="10">
        <v>5483</v>
      </c>
      <c r="M3" s="10">
        <v>5651</v>
      </c>
      <c r="N3" s="10">
        <v>5733</v>
      </c>
      <c r="O3" s="10">
        <v>5824</v>
      </c>
      <c r="P3" s="10">
        <v>5877</v>
      </c>
      <c r="Q3" s="10">
        <v>6051</v>
      </c>
      <c r="R3" s="10">
        <v>6419</v>
      </c>
      <c r="S3" s="10">
        <v>6419</v>
      </c>
      <c r="T3" s="10">
        <v>6881</v>
      </c>
      <c r="U3" s="10">
        <v>7061</v>
      </c>
      <c r="V3" s="10">
        <v>6897</v>
      </c>
      <c r="W3" s="10">
        <v>6854</v>
      </c>
      <c r="X3" s="10">
        <v>6714</v>
      </c>
      <c r="AA3" s="10">
        <f>AVERAGE(H3:X3)</f>
        <v>6092.9094117647055</v>
      </c>
      <c r="AB3" s="9">
        <f>IF((AA3/AF3)&gt;1,1,(AA3/AF3))</f>
        <v>0.67698993464052282</v>
      </c>
      <c r="AC3" s="10">
        <f>IF((AF3*0.9-AA3)&lt;0,0,(AF3*0.9-AA3))</f>
        <v>2007.0905882352945</v>
      </c>
      <c r="AD3" s="6" t="s">
        <v>46</v>
      </c>
      <c r="AE3" s="8" t="s">
        <v>47</v>
      </c>
      <c r="AF3" s="7">
        <v>9000</v>
      </c>
    </row>
    <row r="4" spans="8:34" x14ac:dyDescent="0.25">
      <c r="H4" s="10">
        <v>6075</v>
      </c>
      <c r="I4" s="10">
        <v>6075</v>
      </c>
      <c r="J4" s="10">
        <v>6075</v>
      </c>
      <c r="K4" s="10">
        <v>6075</v>
      </c>
      <c r="L4" s="10">
        <v>6075</v>
      </c>
      <c r="M4" s="10">
        <v>6075</v>
      </c>
      <c r="N4" s="10">
        <v>6075</v>
      </c>
      <c r="O4" s="10">
        <f>11030-O6-(12000*0.125)</f>
        <v>8558</v>
      </c>
      <c r="P4" s="10">
        <f>11097-P6-(12000*0.125)</f>
        <v>8507</v>
      </c>
      <c r="Q4" s="10">
        <f>11096-Q6-(12000*0.125)</f>
        <v>8537</v>
      </c>
      <c r="R4" s="10">
        <f>10939-R6-(12000*0.125)</f>
        <v>8441</v>
      </c>
      <c r="S4" s="10">
        <f>9506-S6-(12000*0.125)</f>
        <v>7008</v>
      </c>
      <c r="T4" s="10">
        <f>9300-T6-(12000*0.125)</f>
        <v>6817</v>
      </c>
      <c r="U4" s="10">
        <f>9477-U6-(12000*0.125)</f>
        <v>6994</v>
      </c>
      <c r="V4" s="10">
        <f>9450-V6-(12000*0.125)</f>
        <v>6985</v>
      </c>
      <c r="W4" s="10">
        <f>9499-W6-(12000*0.125)</f>
        <v>6907</v>
      </c>
      <c r="X4" s="10">
        <f>9769-X6-(12000*0.125)</f>
        <v>7149</v>
      </c>
      <c r="AA4" s="10">
        <f>AVERAGE(H4:X4)</f>
        <v>6966.3529411764703</v>
      </c>
      <c r="AB4" s="9">
        <f>IF((AA4/AF4)&gt;1,1,(AA4/AF4))</f>
        <v>0.81957093425605532</v>
      </c>
      <c r="AC4" s="10">
        <f>IF((AF4*0.9-AA4)&lt;0,0,(AF4*0.9-AA4))</f>
        <v>683.64705882352973</v>
      </c>
      <c r="AD4" s="6" t="s">
        <v>48</v>
      </c>
      <c r="AE4" s="8" t="s">
        <v>47</v>
      </c>
      <c r="AF4" s="7">
        <v>8500</v>
      </c>
      <c r="AG4">
        <v>8500</v>
      </c>
      <c r="AH4" t="s">
        <v>49</v>
      </c>
    </row>
    <row r="5" spans="8:34" x14ac:dyDescent="0.25">
      <c r="H5" s="7">
        <f>10431+(-203+1000)+(-39+500)</f>
        <v>11689</v>
      </c>
      <c r="I5" s="7">
        <f>10358+(-252+1000)+(-39-97+500)</f>
        <v>11470</v>
      </c>
      <c r="J5" s="7">
        <f>10411+(-326+1000)+(-39-102+500)</f>
        <v>11444</v>
      </c>
      <c r="K5" s="7">
        <f>10411+(-379+1000)+(-39-102+500)</f>
        <v>11391</v>
      </c>
      <c r="L5" s="7">
        <f>10190+(-406+1000)+(-39-102+500)</f>
        <v>11143</v>
      </c>
      <c r="M5" s="7">
        <f>10352+(-457+1000)+(-39-102+500)</f>
        <v>11254</v>
      </c>
      <c r="N5" s="7">
        <f>10413+(-605+1000)+(-39-102+500)</f>
        <v>11167</v>
      </c>
      <c r="O5" s="7">
        <f>10789+(-670+1000)+(-39-102+500)</f>
        <v>11478</v>
      </c>
      <c r="P5" s="7">
        <f>10993+(-670+1000)+(-39-102+500)</f>
        <v>11682</v>
      </c>
      <c r="Q5" s="7">
        <f>11051+(-523+1000)+(-39-114+500)</f>
        <v>11875</v>
      </c>
      <c r="R5" s="7">
        <f>10701+(-445+1000)+(-39-114+500)</f>
        <v>11603</v>
      </c>
      <c r="S5" s="7">
        <f>10700+(-472+1000)+(-39-117+500)</f>
        <v>11572</v>
      </c>
      <c r="T5" s="7">
        <f>10351+(-631+1000)+(-39-125+500)</f>
        <v>11056</v>
      </c>
      <c r="U5" s="7">
        <f>10371+(-631+1000)+(-7-126+500)</f>
        <v>11107</v>
      </c>
      <c r="V5" s="7">
        <f>10368+(-465+1000)+(-7-101+500)</f>
        <v>11295</v>
      </c>
      <c r="W5" s="7">
        <f>10082+(-155+1000)+(-7-114+500)</f>
        <v>11306</v>
      </c>
      <c r="X5" s="7">
        <f>10240+(-40+1000)+(-7-114+500)</f>
        <v>11579</v>
      </c>
      <c r="AA5" s="10">
        <f>AVERAGE(H5:X5)</f>
        <v>11418.294117647059</v>
      </c>
      <c r="AB5" s="9">
        <f>IF((AA5/AF5)&gt;1,1,(AA5/AF5))</f>
        <v>0.63434967320261437</v>
      </c>
      <c r="AC5" s="10">
        <f>IF((AF5*0.9-AA5)&lt;0,0,(AF5*0.9-AA5))</f>
        <v>4781.7058823529405</v>
      </c>
      <c r="AD5" s="6" t="s">
        <v>50</v>
      </c>
      <c r="AE5" s="8" t="s">
        <v>47</v>
      </c>
      <c r="AF5" s="7">
        <v>18000</v>
      </c>
      <c r="AG5">
        <v>18000</v>
      </c>
      <c r="AH5" t="s">
        <v>51</v>
      </c>
    </row>
    <row r="6" spans="8:34" x14ac:dyDescent="0.25">
      <c r="H6" s="7">
        <v>1406</v>
      </c>
      <c r="I6" s="7">
        <v>1406</v>
      </c>
      <c r="J6" s="7">
        <v>1342</v>
      </c>
      <c r="K6" s="7">
        <v>1342</v>
      </c>
      <c r="L6" s="7">
        <v>1328</v>
      </c>
      <c r="M6" s="7">
        <v>1180</v>
      </c>
      <c r="N6" s="7">
        <v>1180</v>
      </c>
      <c r="O6" s="7">
        <v>972</v>
      </c>
      <c r="P6" s="7">
        <v>1090</v>
      </c>
      <c r="Q6" s="7">
        <v>1059</v>
      </c>
      <c r="R6" s="7">
        <v>998</v>
      </c>
      <c r="S6" s="7">
        <v>998</v>
      </c>
      <c r="T6" s="7">
        <v>983</v>
      </c>
      <c r="U6" s="7">
        <v>983</v>
      </c>
      <c r="V6" s="7">
        <v>965</v>
      </c>
      <c r="W6" s="7">
        <v>1092</v>
      </c>
      <c r="X6" s="7">
        <v>1120</v>
      </c>
      <c r="AA6" s="10">
        <f>AVERAGE(H6:X6)</f>
        <v>1143.7647058823529</v>
      </c>
      <c r="AB6" s="9">
        <f>IF((AA6/AF6)&gt;1,1,(AA6/AF6))</f>
        <v>0.57188235294117651</v>
      </c>
      <c r="AC6" s="10">
        <f>IF((AF6*0.9-AA6)&lt;0,0,(AF6*0.9-AA6))</f>
        <v>656.23529411764707</v>
      </c>
      <c r="AD6" s="6" t="s">
        <v>52</v>
      </c>
      <c r="AE6" s="8" t="s">
        <v>47</v>
      </c>
      <c r="AF6" s="7">
        <v>2000</v>
      </c>
      <c r="AG6">
        <v>1800</v>
      </c>
      <c r="AH6" t="s">
        <v>53</v>
      </c>
    </row>
    <row r="7" spans="8:34" x14ac:dyDescent="0.25">
      <c r="H7" s="7">
        <v>61000</v>
      </c>
      <c r="I7" s="7">
        <v>60500</v>
      </c>
      <c r="J7" s="7">
        <v>60500</v>
      </c>
      <c r="K7" s="7">
        <v>60500</v>
      </c>
      <c r="L7" s="7">
        <v>60500</v>
      </c>
      <c r="M7" s="7">
        <v>60500</v>
      </c>
      <c r="N7" s="7">
        <v>60500</v>
      </c>
      <c r="O7" s="7">
        <v>60500</v>
      </c>
      <c r="P7" s="7">
        <v>60500</v>
      </c>
      <c r="Q7" s="7">
        <v>60500</v>
      </c>
      <c r="R7" s="7">
        <v>60500</v>
      </c>
      <c r="S7" s="7">
        <v>60500</v>
      </c>
      <c r="T7" s="7">
        <v>60500</v>
      </c>
      <c r="U7" s="7">
        <v>60500</v>
      </c>
      <c r="V7" s="7">
        <v>60500</v>
      </c>
      <c r="W7" s="7">
        <v>60500</v>
      </c>
      <c r="X7" s="7">
        <v>60500</v>
      </c>
      <c r="AA7" s="10">
        <f>AVERAGE(H7:X7)</f>
        <v>60529.411764705881</v>
      </c>
      <c r="AB7" s="9">
        <f>IF((AA7/AF7)&gt;1,1,(AA7/AF7))</f>
        <v>0.9312217194570136</v>
      </c>
      <c r="AC7" s="10">
        <f>AF7-AA7</f>
        <v>4470.5882352941189</v>
      </c>
      <c r="AD7" s="6" t="s">
        <v>54</v>
      </c>
      <c r="AE7" s="8" t="s">
        <v>55</v>
      </c>
      <c r="AF7" s="7">
        <v>65000</v>
      </c>
    </row>
    <row r="9" spans="8:34" x14ac:dyDescent="0.25">
      <c r="H9" t="s">
        <v>56</v>
      </c>
    </row>
    <row r="10" spans="8:34" x14ac:dyDescent="0.25">
      <c r="H10" s="11">
        <v>43497</v>
      </c>
      <c r="I10" s="11">
        <v>43501</v>
      </c>
      <c r="J10" s="11">
        <v>43502</v>
      </c>
      <c r="K10" s="11">
        <v>43503</v>
      </c>
      <c r="L10" s="11">
        <v>43504</v>
      </c>
      <c r="M10" s="11">
        <v>43506</v>
      </c>
      <c r="N10" s="11">
        <v>43509</v>
      </c>
      <c r="O10" s="11">
        <v>43510</v>
      </c>
      <c r="P10" s="11">
        <v>43511</v>
      </c>
      <c r="Q10" s="11">
        <v>43514</v>
      </c>
      <c r="R10" s="11">
        <v>43516</v>
      </c>
      <c r="S10" s="11">
        <v>43517</v>
      </c>
      <c r="T10" s="11">
        <v>43518</v>
      </c>
      <c r="U10" s="11">
        <v>43521</v>
      </c>
      <c r="V10" s="11">
        <v>43522</v>
      </c>
      <c r="W10" s="11">
        <v>43523</v>
      </c>
      <c r="X10" s="11">
        <v>43524</v>
      </c>
      <c r="AA10" s="11" t="s">
        <v>41</v>
      </c>
      <c r="AB10" s="5" t="s">
        <v>42</v>
      </c>
      <c r="AC10" s="5" t="s">
        <v>43</v>
      </c>
      <c r="AD10" s="5" t="s">
        <v>44</v>
      </c>
      <c r="AE10" s="5"/>
      <c r="AF10" s="5" t="s">
        <v>45</v>
      </c>
      <c r="AG10" s="4"/>
      <c r="AH10" s="4"/>
    </row>
    <row r="11" spans="8:34" x14ac:dyDescent="0.25">
      <c r="H11" s="10">
        <v>6764</v>
      </c>
      <c r="I11" s="10">
        <v>6765</v>
      </c>
      <c r="J11" s="10">
        <v>6836</v>
      </c>
      <c r="K11" s="10">
        <v>6839</v>
      </c>
      <c r="L11" s="10">
        <v>6853</v>
      </c>
      <c r="M11" s="10">
        <v>7034</v>
      </c>
      <c r="N11" s="10">
        <v>7093</v>
      </c>
      <c r="O11" s="10">
        <v>7117</v>
      </c>
      <c r="P11" s="10">
        <v>7195</v>
      </c>
      <c r="Q11" s="10">
        <v>7093</v>
      </c>
      <c r="R11" s="10">
        <v>7059</v>
      </c>
      <c r="S11" s="10">
        <v>7047</v>
      </c>
      <c r="T11" s="10">
        <v>7064</v>
      </c>
      <c r="U11" s="10">
        <v>7064</v>
      </c>
      <c r="V11" s="10">
        <v>7064</v>
      </c>
      <c r="W11" s="10">
        <v>7033</v>
      </c>
      <c r="X11" s="10">
        <v>7227</v>
      </c>
      <c r="AA11" s="10">
        <f>AVERAGE(H11:X11)</f>
        <v>7008.6470588235297</v>
      </c>
      <c r="AB11" s="9">
        <f>IF((AA11/AF11)&gt;1,1,(AA11/AF11))</f>
        <v>0.77873856209150327</v>
      </c>
      <c r="AC11" s="10">
        <f>IF((AF11*0.9-AA11)&lt;0,0,(AF11*0.9-AA11))</f>
        <v>1091.3529411764703</v>
      </c>
      <c r="AD11" s="6" t="s">
        <v>46</v>
      </c>
      <c r="AE11" s="8" t="s">
        <v>47</v>
      </c>
      <c r="AF11" s="7">
        <v>9000</v>
      </c>
    </row>
    <row r="12" spans="8:34" x14ac:dyDescent="0.25">
      <c r="H12" s="10">
        <f>9929-H14-(12000*0.125)</f>
        <v>7313</v>
      </c>
      <c r="I12" s="10">
        <f>9693-I14-(2000*0.125)</f>
        <v>8384</v>
      </c>
      <c r="J12" s="10">
        <f>9694-J14-(2000*0.125)</f>
        <v>8439</v>
      </c>
      <c r="K12" s="10">
        <f>9451-K14-(2000*0.125*0)</f>
        <v>8502</v>
      </c>
      <c r="L12" s="10">
        <f>9381-L14-(2000*0.125*0)</f>
        <v>8459</v>
      </c>
      <c r="M12" s="10">
        <f>10124-M14-(2000*0.125*0)</f>
        <v>9200</v>
      </c>
      <c r="N12" s="10">
        <f>10172-N14-(2000*0.125*0)</f>
        <v>9286</v>
      </c>
      <c r="O12" s="10">
        <f>10226-O14-(2000*0.125*0)</f>
        <v>9336</v>
      </c>
      <c r="P12" s="10">
        <f>10122-P14-(2000*0.125*0)</f>
        <v>9241</v>
      </c>
      <c r="Q12" s="10">
        <f>10140-Q14-(2000*0.125*0)</f>
        <v>9163</v>
      </c>
      <c r="R12" s="10">
        <f>10184-R14-(2000*0.125*0)</f>
        <v>9204</v>
      </c>
      <c r="S12" s="10">
        <f>10398-S14-(2000*0.125*0)</f>
        <v>9455</v>
      </c>
      <c r="T12" s="10">
        <f>10138-T14-(2000*0.125*0)</f>
        <v>9196</v>
      </c>
      <c r="U12" s="10">
        <f>10210-U14-(2000*0.125*0)</f>
        <v>9268</v>
      </c>
      <c r="V12" s="10">
        <f>10328-V14-(2000*0.125*0)</f>
        <v>9375</v>
      </c>
      <c r="W12" s="10">
        <f>10116-W14-(2000*0.125*0)</f>
        <v>9156</v>
      </c>
      <c r="X12" s="10">
        <f>10106-X14-(2000*0.125*0)</f>
        <v>9131</v>
      </c>
      <c r="AA12" s="10">
        <f>AVERAGE(H12:X12)</f>
        <v>8947.5294117647063</v>
      </c>
      <c r="AB12" s="9">
        <f>IF((AA12/AF12)&gt;1,1,(AA12/AF12))</f>
        <v>1</v>
      </c>
      <c r="AC12" s="10">
        <f>IF((AF12*0.9-AA12)&lt;0,0,(AF12*0.9-AA12))</f>
        <v>0</v>
      </c>
      <c r="AD12" s="6" t="s">
        <v>48</v>
      </c>
      <c r="AE12" s="8" t="s">
        <v>47</v>
      </c>
      <c r="AF12" s="7">
        <v>8500</v>
      </c>
      <c r="AG12">
        <v>8500</v>
      </c>
      <c r="AH12" t="s">
        <v>49</v>
      </c>
    </row>
    <row r="13" spans="8:34" x14ac:dyDescent="0.25">
      <c r="H13" s="7">
        <f>10308+(-11+1000)+(-7-101+500)</f>
        <v>11689</v>
      </c>
      <c r="I13" s="7">
        <f>10055+(-11+1000)+(-7-140+500)</f>
        <v>11397</v>
      </c>
      <c r="J13" s="7">
        <f>10055+(-11+1000)+(-7-141+500)</f>
        <v>11396</v>
      </c>
      <c r="K13" s="7">
        <f>9923+(-11+1000)+(-7-137+500)</f>
        <v>11268</v>
      </c>
      <c r="L13" s="7">
        <f>9720+(-11+1000)+(-7-137+500)</f>
        <v>11065</v>
      </c>
      <c r="M13" s="7">
        <f>9983+(-11+1000)+(-7-137+500)</f>
        <v>11328</v>
      </c>
      <c r="N13" s="7">
        <f>9955+(-11+1000)+(-7-135+500)</f>
        <v>11302</v>
      </c>
      <c r="O13" s="7">
        <f>10210+(-11+1000)+(-7-135+500)</f>
        <v>11557</v>
      </c>
      <c r="P13" s="7">
        <f>10251+(-11+1000)+(-7-138+500)</f>
        <v>11595</v>
      </c>
      <c r="Q13" s="7">
        <f>10576+(-11+1000)+(-7-141+500)</f>
        <v>11917</v>
      </c>
      <c r="R13" s="7">
        <f>10325+(-11+1000)+(-7-142+500)</f>
        <v>11665</v>
      </c>
      <c r="S13" s="7">
        <f>10314+(-11+1000)+(-7-142+500)</f>
        <v>11654</v>
      </c>
      <c r="T13" s="7">
        <f>10022+(-11+1000)+(-7-144+500)</f>
        <v>11360</v>
      </c>
      <c r="U13" s="7">
        <f>9883+(-11+1000)+(-7-144+500)</f>
        <v>11221</v>
      </c>
      <c r="V13" s="7">
        <f>9883+(-11+1000)+(-7-144+500)</f>
        <v>11221</v>
      </c>
      <c r="W13" s="7">
        <f>9937+(-11+1000)+(-7-148+500)</f>
        <v>11271</v>
      </c>
      <c r="X13" s="7">
        <f>9749+(-7-152+500)</f>
        <v>10090</v>
      </c>
      <c r="AA13" s="10">
        <f>AVERAGE(H13:X13)</f>
        <v>11352.705882352941</v>
      </c>
      <c r="AB13" s="9">
        <f>IF((AA13/AF13)&gt;1,1,(AA13/AF13))</f>
        <v>0.63070588235294112</v>
      </c>
      <c r="AC13" s="10">
        <f>IF((AF13*0.9-AA13)&lt;0,0,(AF13*0.9-AA13))</f>
        <v>4847.2941176470595</v>
      </c>
      <c r="AD13" s="6" t="s">
        <v>50</v>
      </c>
      <c r="AE13" s="8" t="s">
        <v>47</v>
      </c>
      <c r="AF13" s="7">
        <v>18000</v>
      </c>
      <c r="AG13">
        <v>18000</v>
      </c>
      <c r="AH13" t="s">
        <v>51</v>
      </c>
    </row>
    <row r="14" spans="8:34" x14ac:dyDescent="0.25">
      <c r="H14" s="7">
        <v>1116</v>
      </c>
      <c r="I14" s="7">
        <v>1059</v>
      </c>
      <c r="J14" s="7">
        <v>1005</v>
      </c>
      <c r="K14" s="7">
        <v>949</v>
      </c>
      <c r="L14" s="7">
        <v>922</v>
      </c>
      <c r="M14" s="7">
        <v>924</v>
      </c>
      <c r="N14" s="7">
        <v>886</v>
      </c>
      <c r="O14" s="7">
        <v>890</v>
      </c>
      <c r="P14" s="7">
        <v>881</v>
      </c>
      <c r="Q14" s="7">
        <v>977</v>
      </c>
      <c r="R14" s="7">
        <v>980</v>
      </c>
      <c r="S14" s="7">
        <v>943</v>
      </c>
      <c r="T14" s="7">
        <v>942</v>
      </c>
      <c r="U14" s="7">
        <v>942</v>
      </c>
      <c r="V14" s="7">
        <v>953</v>
      </c>
      <c r="W14" s="7">
        <v>960</v>
      </c>
      <c r="X14" s="7">
        <v>975</v>
      </c>
      <c r="AA14" s="10">
        <f>AVERAGE(H14:X14)</f>
        <v>959.05882352941171</v>
      </c>
      <c r="AB14" s="9">
        <f>IF((AA14/AF14)&gt;1,1,(AA14/AF14))</f>
        <v>0.47952941176470587</v>
      </c>
      <c r="AC14" s="10">
        <f>IF((AF14*0.9-AA14)&lt;0,0,(AF14*0.9-AA14))</f>
        <v>840.94117647058829</v>
      </c>
      <c r="AD14" s="6" t="s">
        <v>52</v>
      </c>
      <c r="AE14" s="8" t="s">
        <v>47</v>
      </c>
      <c r="AF14" s="7">
        <v>2000</v>
      </c>
      <c r="AG14">
        <v>1800</v>
      </c>
      <c r="AH14" t="s">
        <v>53</v>
      </c>
    </row>
    <row r="15" spans="8:34" x14ac:dyDescent="0.25">
      <c r="H15" s="7">
        <v>60500</v>
      </c>
      <c r="I15" s="7">
        <v>60500</v>
      </c>
      <c r="J15" s="7">
        <v>60500</v>
      </c>
      <c r="K15" s="7">
        <v>60500</v>
      </c>
      <c r="L15" s="7">
        <v>60500</v>
      </c>
      <c r="M15" s="7">
        <v>60500</v>
      </c>
      <c r="N15" s="7">
        <v>60500</v>
      </c>
      <c r="O15" s="7">
        <v>60500</v>
      </c>
      <c r="P15" s="7">
        <v>60500</v>
      </c>
      <c r="Q15" s="7">
        <v>60500</v>
      </c>
      <c r="R15" s="7">
        <v>60500</v>
      </c>
      <c r="S15" s="7">
        <v>60500</v>
      </c>
      <c r="T15" s="7">
        <v>60500</v>
      </c>
      <c r="U15" s="7">
        <v>60500</v>
      </c>
      <c r="V15" s="7">
        <v>60500</v>
      </c>
      <c r="W15" s="7">
        <v>60500</v>
      </c>
      <c r="X15" s="7">
        <v>60500</v>
      </c>
      <c r="AA15" s="10">
        <f>AVERAGE(H15:X15)</f>
        <v>60500</v>
      </c>
      <c r="AB15" s="9">
        <f>IF((AA15/AF15)&gt;1,1,(AA15/AF15))</f>
        <v>0.93076923076923079</v>
      </c>
      <c r="AC15" s="10">
        <f>AF15-AA15</f>
        <v>4500</v>
      </c>
      <c r="AD15" s="6" t="s">
        <v>54</v>
      </c>
      <c r="AE15" s="8" t="s">
        <v>55</v>
      </c>
      <c r="AF15" s="7">
        <v>65000</v>
      </c>
    </row>
    <row r="17" spans="8:34" x14ac:dyDescent="0.25">
      <c r="H17" t="s">
        <v>57</v>
      </c>
    </row>
    <row r="18" spans="8:34" x14ac:dyDescent="0.25">
      <c r="H18" s="11">
        <v>43525</v>
      </c>
      <c r="I18" s="11">
        <v>43528</v>
      </c>
      <c r="J18" s="11">
        <v>43529</v>
      </c>
      <c r="K18" s="11">
        <v>43530</v>
      </c>
      <c r="L18" s="11">
        <v>43531</v>
      </c>
      <c r="M18" s="11">
        <v>43532</v>
      </c>
      <c r="N18" s="11">
        <v>43535</v>
      </c>
      <c r="O18" s="11">
        <v>43536</v>
      </c>
      <c r="P18" s="11">
        <v>43537</v>
      </c>
      <c r="Q18" s="11">
        <v>43538</v>
      </c>
      <c r="R18" s="11">
        <v>43539</v>
      </c>
      <c r="S18" s="11">
        <v>43542</v>
      </c>
      <c r="T18" s="11">
        <v>43545</v>
      </c>
      <c r="U18" s="11">
        <v>43546</v>
      </c>
      <c r="V18" s="11">
        <v>43549</v>
      </c>
      <c r="W18" s="11">
        <v>43550</v>
      </c>
      <c r="X18" s="11">
        <v>43551</v>
      </c>
      <c r="Y18" s="11">
        <v>43552</v>
      </c>
      <c r="AA18" s="11" t="s">
        <v>41</v>
      </c>
      <c r="AB18" s="5" t="s">
        <v>42</v>
      </c>
      <c r="AC18" s="5" t="s">
        <v>43</v>
      </c>
      <c r="AD18" s="5" t="s">
        <v>44</v>
      </c>
      <c r="AE18" s="5"/>
      <c r="AF18" s="5" t="s">
        <v>45</v>
      </c>
      <c r="AG18" s="4"/>
      <c r="AH18" s="4"/>
    </row>
    <row r="19" spans="8:34" x14ac:dyDescent="0.25">
      <c r="H19" s="10">
        <v>7243</v>
      </c>
      <c r="I19" s="10">
        <v>7277</v>
      </c>
      <c r="J19" s="10">
        <v>7269</v>
      </c>
      <c r="K19" s="10">
        <v>6897</v>
      </c>
      <c r="L19" s="10">
        <v>6534</v>
      </c>
      <c r="M19" s="10">
        <v>6116</v>
      </c>
      <c r="N19" s="10">
        <v>5707</v>
      </c>
      <c r="O19" s="10">
        <v>5707</v>
      </c>
      <c r="P19" s="10">
        <v>5658</v>
      </c>
      <c r="Q19" s="10">
        <v>5334</v>
      </c>
      <c r="R19" s="10">
        <v>5364</v>
      </c>
      <c r="S19" s="10">
        <v>5167</v>
      </c>
      <c r="T19" s="10">
        <v>5167</v>
      </c>
      <c r="U19" s="10">
        <v>5321</v>
      </c>
      <c r="V19" s="10">
        <v>4593</v>
      </c>
      <c r="W19" s="10">
        <v>4593</v>
      </c>
      <c r="X19" s="10">
        <v>4489</v>
      </c>
      <c r="Y19" s="10">
        <v>4633</v>
      </c>
      <c r="AA19" s="10">
        <f>AVERAGE(H19:Y19)</f>
        <v>5726.0555555555557</v>
      </c>
      <c r="AB19" s="9">
        <f>IF((AA19/AF19)&gt;1,1,(AA19/AF19))</f>
        <v>0.63622839506172846</v>
      </c>
      <c r="AC19" s="10">
        <f>IF((AF19*0.9-AA19)&lt;0,0,(AF19*0.9-AA19))</f>
        <v>2373.9444444444443</v>
      </c>
      <c r="AD19" s="6" t="s">
        <v>46</v>
      </c>
      <c r="AE19" s="8" t="s">
        <v>47</v>
      </c>
      <c r="AF19" s="7">
        <v>9000</v>
      </c>
    </row>
    <row r="20" spans="8:34" x14ac:dyDescent="0.25">
      <c r="H20" s="10">
        <f>9980-H22-(2000*0.125*0)</f>
        <v>9001</v>
      </c>
      <c r="I20" s="10">
        <f>9501-I22-(2000*0.125*0)</f>
        <v>8549</v>
      </c>
      <c r="J20" s="10">
        <f>9493-J22-(2000*0.125*0)</f>
        <v>8552</v>
      </c>
      <c r="K20" s="10">
        <f>9645-K22-(2000*0.125*0)</f>
        <v>8686</v>
      </c>
      <c r="L20" s="10">
        <f>9531-L22-(2000*0.125*0)</f>
        <v>8569</v>
      </c>
      <c r="M20" s="10">
        <f>9584-M22-(2000*0.125*0)</f>
        <v>8597</v>
      </c>
      <c r="N20" s="10">
        <v>8472</v>
      </c>
      <c r="O20" s="10">
        <f>9442-O22-(2000*0.125*0)</f>
        <v>8539</v>
      </c>
      <c r="P20" s="10">
        <f>9439-P22-(2000*0.125*0)</f>
        <v>8530</v>
      </c>
      <c r="Q20" s="10">
        <f>9651-Q22-(2000*0.125*0)</f>
        <v>8754</v>
      </c>
      <c r="R20" s="10">
        <f>9650-R22-(2000*0.125*0)</f>
        <v>8772</v>
      </c>
      <c r="S20" s="10">
        <f>9427-S22-(2000*0.125*0)</f>
        <v>8554</v>
      </c>
      <c r="T20" s="10">
        <f>9432-T22-(2000*0.125*0)</f>
        <v>8562</v>
      </c>
      <c r="U20" s="10">
        <f>9487-U22-(2000*0.125*0)</f>
        <v>8622</v>
      </c>
      <c r="V20" s="10">
        <f>9434-V22-(2000*0.125*0)</f>
        <v>8564</v>
      </c>
      <c r="W20" s="10">
        <f>9434-W22-(2000*0.125*0)</f>
        <v>8567</v>
      </c>
      <c r="X20" s="10">
        <f>9288-X22-(2000*0.125*0)</f>
        <v>8418</v>
      </c>
      <c r="Y20" s="10">
        <f>9437-Y22-(2000*0.125*0)</f>
        <v>8557</v>
      </c>
      <c r="AA20" s="10">
        <f>AVERAGE(H20:Y20)</f>
        <v>8603.6111111111113</v>
      </c>
      <c r="AB20" s="9">
        <f>IF((AA20/AF20)&gt;1,1,(AA20/AF20))</f>
        <v>1</v>
      </c>
      <c r="AC20" s="10">
        <f>IF((AF20*0.9-AA20)&lt;0,0,(AF20*0.9-AA20))</f>
        <v>0</v>
      </c>
      <c r="AD20" s="6" t="s">
        <v>48</v>
      </c>
      <c r="AE20" s="8" t="s">
        <v>47</v>
      </c>
      <c r="AF20" s="7">
        <v>8500</v>
      </c>
      <c r="AH20" t="s">
        <v>49</v>
      </c>
    </row>
    <row r="21" spans="8:34" x14ac:dyDescent="0.25">
      <c r="H21" s="7">
        <f>9644+(-7-152+500)</f>
        <v>9985</v>
      </c>
      <c r="I21" s="7">
        <f>9496+(-7-154+500)</f>
        <v>9835</v>
      </c>
      <c r="J21" s="7">
        <f>9496+(-7-154+500)</f>
        <v>9835</v>
      </c>
      <c r="K21" s="7">
        <f>9504+(-7-145+500)</f>
        <v>9852</v>
      </c>
      <c r="L21" s="7">
        <f>9445+(-7-145+500)</f>
        <v>9793</v>
      </c>
      <c r="M21" s="7">
        <f>9572+(-7-145+500)</f>
        <v>9920</v>
      </c>
      <c r="N21" s="7">
        <f>8955+(-7-127+500)</f>
        <v>9321</v>
      </c>
      <c r="O21" s="7">
        <f>8955+(-7-117+500)</f>
        <v>9331</v>
      </c>
      <c r="P21" s="7">
        <f>8855+(-7-117+500)</f>
        <v>9231</v>
      </c>
      <c r="Q21" s="7">
        <f>8591+(-7-118+500)</f>
        <v>8966</v>
      </c>
      <c r="R21" s="7">
        <f>8620+(-7-118+500)</f>
        <v>8995</v>
      </c>
      <c r="S21" s="7">
        <f>8474+(-7-118+500)</f>
        <v>8849</v>
      </c>
      <c r="T21" s="7">
        <f>8492+(-7-119+500)</f>
        <v>8866</v>
      </c>
      <c r="U21" s="7">
        <f>8413+(-7-96+500)</f>
        <v>8810</v>
      </c>
      <c r="V21" s="7">
        <f>8500+(-7-94+500)</f>
        <v>8899</v>
      </c>
      <c r="W21" s="7">
        <f>8500+(-7-94+500)</f>
        <v>8899</v>
      </c>
      <c r="X21" s="7">
        <f>8337+(-7-94+500)</f>
        <v>8736</v>
      </c>
      <c r="Y21" s="7">
        <f>8556+(-7-94+500)</f>
        <v>8955</v>
      </c>
      <c r="AA21" s="10">
        <f>AVERAGE(H21:Y21)</f>
        <v>9282.1111111111113</v>
      </c>
      <c r="AB21" s="9">
        <f>IF((AA21/AF21)&gt;1,1,(AA21/AF21))</f>
        <v>0.51567283950617282</v>
      </c>
      <c r="AC21" s="10">
        <f>IF((AF21*0.9-AA21)&lt;0,0,(AF21*0.9-AA21))</f>
        <v>6917.8888888888887</v>
      </c>
      <c r="AD21" s="6" t="s">
        <v>50</v>
      </c>
      <c r="AE21" s="8" t="s">
        <v>47</v>
      </c>
      <c r="AF21" s="7">
        <v>18000</v>
      </c>
      <c r="AH21" t="s">
        <v>51</v>
      </c>
    </row>
    <row r="22" spans="8:34" x14ac:dyDescent="0.25">
      <c r="H22" s="7">
        <v>979</v>
      </c>
      <c r="I22" s="7">
        <v>952</v>
      </c>
      <c r="J22" s="7">
        <v>941</v>
      </c>
      <c r="K22" s="7">
        <v>959</v>
      </c>
      <c r="L22" s="7">
        <v>962</v>
      </c>
      <c r="M22" s="7">
        <v>987</v>
      </c>
      <c r="N22" s="7">
        <v>970</v>
      </c>
      <c r="O22" s="7">
        <v>903</v>
      </c>
      <c r="P22" s="7">
        <v>909</v>
      </c>
      <c r="Q22" s="7">
        <v>897</v>
      </c>
      <c r="R22" s="7">
        <v>878</v>
      </c>
      <c r="S22" s="7">
        <v>873</v>
      </c>
      <c r="T22" s="7">
        <v>870</v>
      </c>
      <c r="U22" s="7">
        <v>865</v>
      </c>
      <c r="V22" s="7">
        <v>870</v>
      </c>
      <c r="W22" s="7">
        <v>867</v>
      </c>
      <c r="X22" s="7">
        <v>870</v>
      </c>
      <c r="Y22" s="7">
        <v>880</v>
      </c>
      <c r="AA22" s="10">
        <f>AVERAGE(H22:Y22)</f>
        <v>912.88888888888891</v>
      </c>
      <c r="AB22" s="9">
        <f>IF((AA22/AF22)&gt;1,1,(AA22/AF22))</f>
        <v>0.45644444444444443</v>
      </c>
      <c r="AC22" s="10">
        <f>IF((AF22*0.9-AA22)&lt;0,0,(AF22*0.9-AA22))</f>
        <v>887.11111111111109</v>
      </c>
      <c r="AD22" s="6" t="s">
        <v>52</v>
      </c>
      <c r="AE22" s="8" t="s">
        <v>47</v>
      </c>
      <c r="AF22" s="7">
        <v>2000</v>
      </c>
      <c r="AH22" t="s">
        <v>53</v>
      </c>
    </row>
    <row r="23" spans="8:34" x14ac:dyDescent="0.25">
      <c r="H23" s="7">
        <v>60500</v>
      </c>
      <c r="I23" s="7">
        <v>60500</v>
      </c>
      <c r="J23" s="7">
        <v>60500</v>
      </c>
      <c r="K23" s="7">
        <v>60500</v>
      </c>
      <c r="L23" s="7">
        <v>60500</v>
      </c>
      <c r="M23" s="7">
        <v>60500</v>
      </c>
      <c r="N23" s="7">
        <v>60500</v>
      </c>
      <c r="O23" s="7">
        <v>60500</v>
      </c>
      <c r="P23" s="7">
        <v>60500</v>
      </c>
      <c r="Q23" s="7">
        <v>60500</v>
      </c>
      <c r="R23" s="7">
        <v>60500</v>
      </c>
      <c r="S23" s="7">
        <v>60500</v>
      </c>
      <c r="T23" s="7">
        <v>60500</v>
      </c>
      <c r="U23" s="7">
        <v>60500</v>
      </c>
      <c r="V23" s="7">
        <v>60500</v>
      </c>
      <c r="W23" s="7">
        <v>60500</v>
      </c>
      <c r="X23" s="7">
        <v>60500</v>
      </c>
      <c r="Y23" s="7">
        <v>60500</v>
      </c>
      <c r="AA23" s="10">
        <f>AVERAGE(H23:Y23)</f>
        <v>60500</v>
      </c>
      <c r="AB23" s="9">
        <f>IF((AA23/AF23)&gt;1,1,(AA23/AF23))</f>
        <v>0.93076923076923079</v>
      </c>
      <c r="AC23" s="10">
        <f>AF23-AA23</f>
        <v>4500</v>
      </c>
      <c r="AD23" s="6" t="s">
        <v>54</v>
      </c>
      <c r="AE23" s="8" t="s">
        <v>55</v>
      </c>
      <c r="AF23" s="7">
        <v>65000</v>
      </c>
    </row>
    <row r="26" spans="8:34" x14ac:dyDescent="0.25">
      <c r="P26" s="11">
        <v>43558</v>
      </c>
      <c r="Q26" s="11">
        <v>43560</v>
      </c>
      <c r="R26" s="11">
        <v>43564</v>
      </c>
      <c r="S26" s="11">
        <v>43566</v>
      </c>
      <c r="T26" s="11">
        <v>43577</v>
      </c>
      <c r="U26" s="11">
        <v>43579</v>
      </c>
      <c r="V26" s="11">
        <v>43580</v>
      </c>
      <c r="W26" s="11">
        <v>43581</v>
      </c>
      <c r="X26" s="11">
        <v>43584</v>
      </c>
      <c r="Y26" s="11">
        <v>43585</v>
      </c>
      <c r="AA26" s="11" t="s">
        <v>41</v>
      </c>
      <c r="AB26" s="5" t="s">
        <v>42</v>
      </c>
      <c r="AC26" s="5" t="s">
        <v>43</v>
      </c>
      <c r="AD26" s="5" t="s">
        <v>44</v>
      </c>
      <c r="AE26" s="5"/>
      <c r="AF26" s="5" t="s">
        <v>45</v>
      </c>
    </row>
    <row r="27" spans="8:34" x14ac:dyDescent="0.25">
      <c r="P27" s="10">
        <v>4838</v>
      </c>
      <c r="Q27" s="10">
        <v>4925</v>
      </c>
      <c r="R27" s="10">
        <v>4879</v>
      </c>
      <c r="S27" s="10">
        <v>4665</v>
      </c>
      <c r="T27" s="10">
        <v>4760</v>
      </c>
      <c r="U27" s="10">
        <v>4783</v>
      </c>
      <c r="V27" s="10">
        <v>4704</v>
      </c>
      <c r="W27" s="10">
        <v>4681</v>
      </c>
      <c r="X27" s="10">
        <v>4891</v>
      </c>
      <c r="Y27" s="10">
        <v>4890</v>
      </c>
      <c r="AA27" s="10">
        <f>AVERAGE(P27:Y27)</f>
        <v>4801.6000000000004</v>
      </c>
      <c r="AB27" s="9">
        <f>IF((AA27/AF27)&gt;1,1,(AA27/AF27))</f>
        <v>0.53351111111111116</v>
      </c>
      <c r="AC27" s="10">
        <f>IF((AF27*0.9-AA27)&lt;0,0,(AF27*0.9-AA27))</f>
        <v>3298.3999999999996</v>
      </c>
      <c r="AD27" s="6" t="s">
        <v>46</v>
      </c>
      <c r="AE27" s="8" t="s">
        <v>47</v>
      </c>
      <c r="AF27" s="7">
        <v>9000</v>
      </c>
    </row>
    <row r="28" spans="8:34" x14ac:dyDescent="0.25">
      <c r="P28" s="10">
        <f>9485-P30-(2000*0.125*0)</f>
        <v>8491</v>
      </c>
      <c r="Q28" s="10">
        <f>9758-Q30-(2000*0.125*0)</f>
        <v>8981</v>
      </c>
      <c r="R28" s="10">
        <f>9854-R30-(2000*0.125*0)</f>
        <v>8880</v>
      </c>
      <c r="S28" s="10">
        <f>9815-S30-(2000*0.125*0)</f>
        <v>8776</v>
      </c>
      <c r="T28" s="10">
        <f>11486-T30-(2000*0.125*0)</f>
        <v>10319</v>
      </c>
      <c r="U28" s="10">
        <f>11458-U30-(2000*0.125*0)</f>
        <v>10289</v>
      </c>
      <c r="V28" s="10">
        <f>11606-V30-(2000*0.125*0)</f>
        <v>10459</v>
      </c>
      <c r="W28" s="10">
        <f>11338-W30-(2000*0.125*0)</f>
        <v>10162</v>
      </c>
      <c r="X28" s="10">
        <f>11468-X30-(2000*0.125*0)</f>
        <v>10279</v>
      </c>
      <c r="Y28" s="10">
        <f>11559-Y30-(2000*0.125*0)</f>
        <v>10257</v>
      </c>
      <c r="AA28" s="10">
        <f>AVERAGE(P28:Y28)</f>
        <v>9689.2999999999993</v>
      </c>
      <c r="AB28" s="9">
        <f>IF((AA28/AF28)&gt;1,1,(AA28/AF28))</f>
        <v>1</v>
      </c>
      <c r="AC28" s="10">
        <f>IF((AF28*0.9-AA28)&lt;0,0,(AF28*0.9-AA28))</f>
        <v>0</v>
      </c>
      <c r="AD28" s="6" t="s">
        <v>48</v>
      </c>
      <c r="AE28" s="8" t="s">
        <v>47</v>
      </c>
      <c r="AF28" s="7">
        <v>8500</v>
      </c>
    </row>
    <row r="29" spans="8:34" x14ac:dyDescent="0.25">
      <c r="P29" s="7">
        <f>7096+(-7-94+500)</f>
        <v>7495</v>
      </c>
      <c r="Q29" s="7">
        <f>7301+(-7-94+500)</f>
        <v>7700</v>
      </c>
      <c r="R29" s="7">
        <f>7643+(-7-48+500)</f>
        <v>8088</v>
      </c>
      <c r="S29" s="7">
        <f>7718+(-7-48+500)</f>
        <v>8163</v>
      </c>
      <c r="T29" s="7">
        <f>8525+(-7-53+500)</f>
        <v>8965</v>
      </c>
      <c r="U29" s="7">
        <f>8479+(-7-52+500)</f>
        <v>8920</v>
      </c>
      <c r="V29" s="7">
        <f>8394+(-7-52+500)</f>
        <v>8835</v>
      </c>
      <c r="W29" s="7">
        <f>8026+(-7-48+500)</f>
        <v>8471</v>
      </c>
      <c r="X29" s="7">
        <f>8070+(-7-49+500)</f>
        <v>8514</v>
      </c>
      <c r="Y29" s="7">
        <f>8116+(-7-49+500)</f>
        <v>8560</v>
      </c>
      <c r="AA29" s="10">
        <f>AVERAGE(P29:Y29)</f>
        <v>8371.1</v>
      </c>
      <c r="AB29" s="9">
        <f>IF((AA29/AF29)&gt;1,1,(AA29/AF29))</f>
        <v>0.46506111111111115</v>
      </c>
      <c r="AC29" s="10">
        <f>IF((AF29*0.9-AA29)&lt;0,0,(AF29*0.9-AA29))</f>
        <v>7828.9</v>
      </c>
      <c r="AD29" s="6" t="s">
        <v>50</v>
      </c>
      <c r="AE29" s="8" t="s">
        <v>47</v>
      </c>
      <c r="AF29" s="7">
        <v>18000</v>
      </c>
    </row>
    <row r="30" spans="8:34" x14ac:dyDescent="0.25">
      <c r="P30" s="7">
        <v>994</v>
      </c>
      <c r="Q30" s="7">
        <v>777</v>
      </c>
      <c r="R30" s="7">
        <v>974</v>
      </c>
      <c r="S30" s="7">
        <v>1039</v>
      </c>
      <c r="T30" s="7">
        <v>1167</v>
      </c>
      <c r="U30" s="7">
        <v>1169</v>
      </c>
      <c r="V30" s="7">
        <v>1147</v>
      </c>
      <c r="W30" s="7">
        <v>1176</v>
      </c>
      <c r="X30" s="7">
        <v>1189</v>
      </c>
      <c r="Y30" s="7">
        <v>1302</v>
      </c>
      <c r="AA30" s="10">
        <f>AVERAGE(P30:Y30)</f>
        <v>1093.4000000000001</v>
      </c>
      <c r="AB30" s="9">
        <f>IF((AA30/AF30)&gt;1,1,(AA30/AF30))</f>
        <v>0.54670000000000007</v>
      </c>
      <c r="AC30" s="10">
        <f>IF((AF30*0.9-AA30)&lt;0,0,(AF30*0.9-AA30))</f>
        <v>706.59999999999991</v>
      </c>
      <c r="AD30" s="6" t="s">
        <v>52</v>
      </c>
      <c r="AE30" s="8" t="s">
        <v>47</v>
      </c>
      <c r="AF30" s="7">
        <v>2000</v>
      </c>
    </row>
    <row r="31" spans="8:34" x14ac:dyDescent="0.25">
      <c r="P31" s="7">
        <v>60500</v>
      </c>
      <c r="Q31" s="7">
        <v>60500</v>
      </c>
      <c r="R31" s="7">
        <v>60500</v>
      </c>
      <c r="S31" s="7">
        <v>60500</v>
      </c>
      <c r="T31" s="7">
        <v>60500</v>
      </c>
      <c r="U31" s="7">
        <v>60500</v>
      </c>
      <c r="V31" s="7">
        <v>60500</v>
      </c>
      <c r="W31" s="7">
        <v>60500</v>
      </c>
      <c r="X31" s="7">
        <v>60500</v>
      </c>
      <c r="Y31" s="7">
        <v>60500</v>
      </c>
      <c r="AA31" s="10">
        <f>AVERAGE(P31:Y31)</f>
        <v>60500</v>
      </c>
      <c r="AB31" s="9">
        <f>IF((AA31/AF31)&gt;1,1,(AA31/AF31))</f>
        <v>0.93076923076923079</v>
      </c>
      <c r="AC31" s="10">
        <f>AF31-AA31</f>
        <v>4500</v>
      </c>
      <c r="AD31" s="6" t="s">
        <v>54</v>
      </c>
      <c r="AE31" s="8" t="s">
        <v>55</v>
      </c>
      <c r="AF31" s="7">
        <v>65000</v>
      </c>
    </row>
    <row r="38" spans="1:31" x14ac:dyDescent="0.25">
      <c r="A38" t="s">
        <v>45</v>
      </c>
      <c r="B38" s="5" t="s">
        <v>44</v>
      </c>
      <c r="C38" s="5"/>
      <c r="D38" s="5" t="s">
        <v>45</v>
      </c>
      <c r="E38" s="4"/>
      <c r="F38" s="4"/>
      <c r="G38" s="4"/>
      <c r="H38" s="4"/>
    </row>
    <row r="39" spans="1:31" x14ac:dyDescent="0.25">
      <c r="B39" s="6" t="s">
        <v>46</v>
      </c>
      <c r="C39" s="8" t="s">
        <v>47</v>
      </c>
      <c r="D39" s="7">
        <v>9000</v>
      </c>
    </row>
    <row r="40" spans="1:31" x14ac:dyDescent="0.25">
      <c r="B40" s="6" t="s">
        <v>48</v>
      </c>
      <c r="C40" s="8" t="s">
        <v>47</v>
      </c>
      <c r="D40" s="7">
        <v>8500</v>
      </c>
      <c r="E40">
        <v>8500</v>
      </c>
      <c r="F40" t="s">
        <v>49</v>
      </c>
    </row>
    <row r="41" spans="1:31" x14ac:dyDescent="0.25">
      <c r="B41" s="6" t="s">
        <v>50</v>
      </c>
      <c r="C41" s="8" t="s">
        <v>47</v>
      </c>
      <c r="D41" s="7">
        <v>18000</v>
      </c>
      <c r="E41">
        <v>18000</v>
      </c>
      <c r="F41" t="s">
        <v>51</v>
      </c>
    </row>
    <row r="42" spans="1:31" x14ac:dyDescent="0.25">
      <c r="B42" s="6" t="s">
        <v>52</v>
      </c>
      <c r="C42" s="8" t="s">
        <v>47</v>
      </c>
      <c r="D42" s="7">
        <v>2000</v>
      </c>
      <c r="E42">
        <v>1800</v>
      </c>
      <c r="F42" t="s">
        <v>53</v>
      </c>
    </row>
    <row r="43" spans="1:31" x14ac:dyDescent="0.25">
      <c r="B43" s="6" t="s">
        <v>54</v>
      </c>
      <c r="C43" s="8" t="s">
        <v>55</v>
      </c>
      <c r="D43" s="7">
        <v>65000</v>
      </c>
    </row>
    <row r="46" spans="1:31" ht="32.25" customHeight="1" x14ac:dyDescent="0.25">
      <c r="Z46" s="22" t="s">
        <v>44</v>
      </c>
      <c r="AA46" s="447" t="s">
        <v>45</v>
      </c>
      <c r="AB46" s="448"/>
      <c r="AC46" s="23" t="s">
        <v>41</v>
      </c>
      <c r="AD46" s="22" t="s">
        <v>58</v>
      </c>
      <c r="AE46" s="22" t="s">
        <v>59</v>
      </c>
    </row>
    <row r="47" spans="1:31" x14ac:dyDescent="0.25">
      <c r="Z47" s="24" t="s">
        <v>46</v>
      </c>
      <c r="AA47" s="26">
        <v>9000</v>
      </c>
      <c r="AB47" s="27" t="s">
        <v>47</v>
      </c>
      <c r="AC47" s="25">
        <v>6092.9094117647055</v>
      </c>
      <c r="AD47" s="9">
        <v>0.67698993464052282</v>
      </c>
      <c r="AE47" s="10">
        <v>2007.0905882352945</v>
      </c>
    </row>
    <row r="48" spans="1:31" x14ac:dyDescent="0.25">
      <c r="Z48" s="24" t="s">
        <v>48</v>
      </c>
      <c r="AA48" s="26">
        <v>8500</v>
      </c>
      <c r="AB48" s="27" t="s">
        <v>47</v>
      </c>
      <c r="AC48" s="25">
        <v>6966.3529411764703</v>
      </c>
      <c r="AD48" s="9">
        <v>0.81957093425605532</v>
      </c>
      <c r="AE48" s="10">
        <v>683.64705882352973</v>
      </c>
    </row>
    <row r="49" spans="26:32" x14ac:dyDescent="0.25">
      <c r="Z49" s="24" t="s">
        <v>50</v>
      </c>
      <c r="AA49" s="26">
        <v>18000</v>
      </c>
      <c r="AB49" s="27" t="s">
        <v>47</v>
      </c>
      <c r="AC49" s="25">
        <v>11418.294117647059</v>
      </c>
      <c r="AD49" s="9">
        <v>0.63434967320261437</v>
      </c>
      <c r="AE49" s="10">
        <v>4781.7058823529405</v>
      </c>
    </row>
    <row r="50" spans="26:32" x14ac:dyDescent="0.25">
      <c r="Z50" s="24" t="s">
        <v>52</v>
      </c>
      <c r="AA50" s="26">
        <v>2000</v>
      </c>
      <c r="AB50" s="27" t="s">
        <v>47</v>
      </c>
      <c r="AC50" s="25">
        <v>1143.7647058823529</v>
      </c>
      <c r="AD50" s="9">
        <v>0.57188235294117651</v>
      </c>
      <c r="AE50" s="10">
        <v>656.23529411764707</v>
      </c>
    </row>
    <row r="51" spans="26:32" x14ac:dyDescent="0.25">
      <c r="Z51" s="24" t="s">
        <v>54</v>
      </c>
      <c r="AA51" s="26">
        <v>65000</v>
      </c>
      <c r="AB51" s="27" t="s">
        <v>60</v>
      </c>
      <c r="AC51" s="25">
        <v>60529.411764705881</v>
      </c>
      <c r="AD51" s="9">
        <v>0.9312217194570136</v>
      </c>
      <c r="AE51" s="10">
        <v>4470.5882352941189</v>
      </c>
    </row>
    <row r="54" spans="26:32" x14ac:dyDescent="0.25">
      <c r="AA54">
        <f>12000*0.125</f>
        <v>1500</v>
      </c>
    </row>
    <row r="56" spans="26:32" x14ac:dyDescent="0.25">
      <c r="AF56" s="28">
        <v>43466</v>
      </c>
    </row>
  </sheetData>
  <mergeCells count="1">
    <mergeCell ref="AA46:AB46"/>
  </mergeCell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E17"/>
  <sheetViews>
    <sheetView zoomScale="96" workbookViewId="0">
      <selection activeCell="B5" sqref="B5"/>
    </sheetView>
  </sheetViews>
  <sheetFormatPr defaultRowHeight="15" x14ac:dyDescent="0.25"/>
  <cols>
    <col min="1" max="1" width="36.140625" bestFit="1" customWidth="1"/>
    <col min="2" max="2" width="15.85546875" bestFit="1" customWidth="1"/>
    <col min="3" max="3" width="6.28515625" customWidth="1"/>
    <col min="4" max="5" width="17" bestFit="1" customWidth="1"/>
    <col min="6" max="6" width="20.28515625" bestFit="1" customWidth="1"/>
    <col min="7" max="7" width="22.140625" bestFit="1" customWidth="1"/>
  </cols>
  <sheetData>
    <row r="1" spans="1:5" x14ac:dyDescent="0.25">
      <c r="A1" s="194" t="s">
        <v>61</v>
      </c>
      <c r="B1" s="194" t="s">
        <v>62</v>
      </c>
    </row>
    <row r="2" spans="1:5" x14ac:dyDescent="0.25">
      <c r="A2" s="194" t="s">
        <v>44</v>
      </c>
      <c r="B2" s="29" t="s">
        <v>47</v>
      </c>
    </row>
    <row r="3" spans="1:5" x14ac:dyDescent="0.25">
      <c r="A3" t="s">
        <v>63</v>
      </c>
      <c r="B3">
        <v>10300</v>
      </c>
    </row>
    <row r="4" spans="1:5" x14ac:dyDescent="0.25">
      <c r="A4" t="s">
        <v>64</v>
      </c>
      <c r="B4">
        <v>10250</v>
      </c>
    </row>
    <row r="5" spans="1:5" x14ac:dyDescent="0.25">
      <c r="A5" t="s">
        <v>65</v>
      </c>
      <c r="B5">
        <v>21000</v>
      </c>
    </row>
    <row r="6" spans="1:5" x14ac:dyDescent="0.25">
      <c r="A6" t="s">
        <v>66</v>
      </c>
      <c r="B6">
        <v>1700</v>
      </c>
    </row>
    <row r="7" spans="1:5" x14ac:dyDescent="0.25">
      <c r="A7" t="s">
        <v>67</v>
      </c>
      <c r="B7">
        <v>4300</v>
      </c>
    </row>
    <row r="8" spans="1:5" ht="15.75" customHeight="1" x14ac:dyDescent="0.25">
      <c r="A8" t="s">
        <v>68</v>
      </c>
      <c r="B8">
        <v>100</v>
      </c>
    </row>
    <row r="10" spans="1:5" ht="15.75" thickBot="1" x14ac:dyDescent="0.3"/>
    <row r="11" spans="1:5" x14ac:dyDescent="0.25">
      <c r="A11" s="452" t="s">
        <v>44</v>
      </c>
      <c r="B11" s="449" t="s">
        <v>61</v>
      </c>
      <c r="C11" s="450"/>
      <c r="D11" s="450" t="s">
        <v>69</v>
      </c>
      <c r="E11" s="451"/>
    </row>
    <row r="12" spans="1:5" ht="15.75" thickBot="1" x14ac:dyDescent="0.3">
      <c r="A12" s="453"/>
      <c r="B12" s="41" t="s">
        <v>47</v>
      </c>
      <c r="C12" s="42" t="s">
        <v>55</v>
      </c>
      <c r="D12" s="42" t="s">
        <v>47</v>
      </c>
      <c r="E12" s="43" t="s">
        <v>55</v>
      </c>
    </row>
    <row r="13" spans="1:5" x14ac:dyDescent="0.25">
      <c r="A13" s="37" t="s">
        <v>50</v>
      </c>
      <c r="B13" s="38">
        <v>18000</v>
      </c>
      <c r="C13" s="39"/>
      <c r="D13" s="39">
        <v>10889</v>
      </c>
      <c r="E13" s="40"/>
    </row>
    <row r="14" spans="1:5" x14ac:dyDescent="0.25">
      <c r="A14" s="35" t="s">
        <v>52</v>
      </c>
      <c r="B14" s="33">
        <v>1800</v>
      </c>
      <c r="C14" s="7"/>
      <c r="D14" s="7">
        <v>1801</v>
      </c>
      <c r="E14" s="30"/>
    </row>
    <row r="15" spans="1:5" x14ac:dyDescent="0.25">
      <c r="A15" s="35" t="s">
        <v>46</v>
      </c>
      <c r="B15" s="33">
        <v>9000</v>
      </c>
      <c r="C15" s="7"/>
      <c r="D15" s="7">
        <v>5727</v>
      </c>
      <c r="E15" s="30"/>
    </row>
    <row r="16" spans="1:5" x14ac:dyDescent="0.25">
      <c r="A16" s="35" t="s">
        <v>48</v>
      </c>
      <c r="B16" s="33">
        <v>8500</v>
      </c>
      <c r="C16" s="7"/>
      <c r="D16" s="7">
        <v>10117</v>
      </c>
      <c r="E16" s="30"/>
    </row>
    <row r="17" spans="1:5" ht="15.75" thickBot="1" x14ac:dyDescent="0.3">
      <c r="A17" s="36" t="s">
        <v>54</v>
      </c>
      <c r="B17" s="34"/>
      <c r="C17" s="31">
        <v>65000</v>
      </c>
      <c r="D17" s="31"/>
      <c r="E17" s="32">
        <v>60500</v>
      </c>
    </row>
  </sheetData>
  <mergeCells count="3">
    <mergeCell ref="B11:C11"/>
    <mergeCell ref="D11:E11"/>
    <mergeCell ref="A11:A1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C14"/>
  <sheetViews>
    <sheetView workbookViewId="0">
      <selection activeCell="A2" sqref="A2"/>
    </sheetView>
  </sheetViews>
  <sheetFormatPr defaultRowHeight="15" x14ac:dyDescent="0.25"/>
  <cols>
    <col min="1" max="1" width="38.28515625" bestFit="1" customWidth="1"/>
    <col min="2" max="2" width="8.85546875" bestFit="1" customWidth="1"/>
    <col min="3" max="3" width="12" bestFit="1" customWidth="1"/>
    <col min="4" max="4" width="5" customWidth="1"/>
    <col min="5" max="5" width="5.5703125" customWidth="1"/>
    <col min="6" max="6" width="11.28515625" customWidth="1"/>
    <col min="7" max="7" width="6" customWidth="1"/>
    <col min="8" max="8" width="5" customWidth="1"/>
    <col min="9" max="9" width="12" bestFit="1" customWidth="1"/>
    <col min="10" max="10" width="20.140625" bestFit="1" customWidth="1"/>
    <col min="11" max="11" width="24.140625" bestFit="1" customWidth="1"/>
  </cols>
  <sheetData>
    <row r="1" spans="1:3" x14ac:dyDescent="0.25">
      <c r="A1" s="194" t="s">
        <v>70</v>
      </c>
      <c r="B1" t="s">
        <v>71</v>
      </c>
      <c r="C1" t="s">
        <v>72</v>
      </c>
    </row>
    <row r="2" spans="1:3" x14ac:dyDescent="0.25">
      <c r="A2" s="17" t="s">
        <v>65</v>
      </c>
      <c r="B2">
        <v>21000</v>
      </c>
      <c r="C2">
        <v>8773.6718999999994</v>
      </c>
    </row>
    <row r="3" spans="1:3" x14ac:dyDescent="0.25">
      <c r="A3" s="195">
        <v>0.4177939</v>
      </c>
      <c r="B3">
        <v>21000</v>
      </c>
      <c r="C3">
        <v>8773.6718999999994</v>
      </c>
    </row>
    <row r="4" spans="1:3" x14ac:dyDescent="0.25">
      <c r="A4" s="17" t="s">
        <v>67</v>
      </c>
      <c r="B4">
        <v>4300</v>
      </c>
      <c r="C4">
        <v>3114.8409999999999</v>
      </c>
    </row>
    <row r="5" spans="1:3" x14ac:dyDescent="0.25">
      <c r="A5" s="195">
        <v>0.72438162790697669</v>
      </c>
      <c r="B5">
        <v>4300</v>
      </c>
      <c r="C5">
        <v>3114.8409999999999</v>
      </c>
    </row>
    <row r="6" spans="1:3" x14ac:dyDescent="0.25">
      <c r="A6" s="17" t="s">
        <v>73</v>
      </c>
      <c r="B6">
        <v>7500</v>
      </c>
      <c r="C6">
        <v>7676.0394999999999</v>
      </c>
    </row>
    <row r="7" spans="1:3" x14ac:dyDescent="0.25">
      <c r="A7" s="195">
        <v>1</v>
      </c>
      <c r="B7">
        <v>7500</v>
      </c>
      <c r="C7">
        <v>7676.0394999999999</v>
      </c>
    </row>
    <row r="8" spans="1:3" x14ac:dyDescent="0.25">
      <c r="A8" s="17" t="s">
        <v>63</v>
      </c>
      <c r="B8">
        <v>10300</v>
      </c>
      <c r="C8">
        <v>4837.7183473000014</v>
      </c>
    </row>
    <row r="9" spans="1:3" x14ac:dyDescent="0.25">
      <c r="A9" s="195">
        <v>0.46968139294174771</v>
      </c>
      <c r="B9">
        <v>10300</v>
      </c>
      <c r="C9">
        <v>4837.7183473000014</v>
      </c>
    </row>
    <row r="10" spans="1:3" x14ac:dyDescent="0.25">
      <c r="A10" s="17" t="s">
        <v>68</v>
      </c>
      <c r="B10">
        <v>100</v>
      </c>
      <c r="C10">
        <v>36.439366699999859</v>
      </c>
    </row>
    <row r="11" spans="1:3" x14ac:dyDescent="0.25">
      <c r="A11" s="195">
        <v>0.36439366699999859</v>
      </c>
      <c r="B11">
        <v>100</v>
      </c>
      <c r="C11">
        <v>36.439366699999859</v>
      </c>
    </row>
    <row r="12" spans="1:3" x14ac:dyDescent="0.25">
      <c r="A12" s="17" t="s">
        <v>64</v>
      </c>
      <c r="B12">
        <v>10250</v>
      </c>
      <c r="C12">
        <v>6155.6408999999994</v>
      </c>
    </row>
    <row r="13" spans="1:3" x14ac:dyDescent="0.25">
      <c r="A13" s="195">
        <v>0.60055033170731698</v>
      </c>
      <c r="B13">
        <v>10250</v>
      </c>
      <c r="C13">
        <v>6155.6408999999994</v>
      </c>
    </row>
    <row r="14" spans="1:3" x14ac:dyDescent="0.25">
      <c r="A14" s="17" t="s">
        <v>74</v>
      </c>
      <c r="B14">
        <v>53450</v>
      </c>
      <c r="C14">
        <v>30594.351014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3:B10"/>
  <sheetViews>
    <sheetView workbookViewId="0">
      <selection activeCell="C7" sqref="C7"/>
    </sheetView>
  </sheetViews>
  <sheetFormatPr defaultRowHeight="15" x14ac:dyDescent="0.25"/>
  <cols>
    <col min="1" max="1" width="36.140625" bestFit="1" customWidth="1"/>
    <col min="2" max="2" width="24.140625" bestFit="1" customWidth="1"/>
    <col min="3" max="3" width="11.42578125" bestFit="1" customWidth="1"/>
    <col min="4" max="4" width="16.5703125" bestFit="1" customWidth="1"/>
    <col min="5" max="5" width="13.7109375" bestFit="1" customWidth="1"/>
    <col min="6" max="6" width="7.28515625" customWidth="1"/>
    <col min="7" max="7" width="11.28515625" bestFit="1" customWidth="1"/>
  </cols>
  <sheetData>
    <row r="3" spans="1:2" x14ac:dyDescent="0.25">
      <c r="A3" s="194" t="s">
        <v>70</v>
      </c>
      <c r="B3" t="s">
        <v>75</v>
      </c>
    </row>
    <row r="4" spans="1:2" x14ac:dyDescent="0.25">
      <c r="A4" s="17" t="s">
        <v>65</v>
      </c>
      <c r="B4">
        <v>12226.328100000001</v>
      </c>
    </row>
    <row r="5" spans="1:2" x14ac:dyDescent="0.25">
      <c r="A5" s="17" t="s">
        <v>67</v>
      </c>
      <c r="B5">
        <v>1185.1590000000001</v>
      </c>
    </row>
    <row r="6" spans="1:2" x14ac:dyDescent="0.25">
      <c r="A6" s="17" t="s">
        <v>73</v>
      </c>
      <c r="B6">
        <v>0</v>
      </c>
    </row>
    <row r="7" spans="1:2" x14ac:dyDescent="0.25">
      <c r="A7" s="17" t="s">
        <v>63</v>
      </c>
      <c r="B7">
        <v>5462.2816526999986</v>
      </c>
    </row>
    <row r="8" spans="1:2" x14ac:dyDescent="0.25">
      <c r="A8" s="17" t="s">
        <v>68</v>
      </c>
      <c r="B8">
        <v>63.560633300000141</v>
      </c>
    </row>
    <row r="9" spans="1:2" x14ac:dyDescent="0.25">
      <c r="A9" s="17" t="s">
        <v>64</v>
      </c>
      <c r="B9">
        <v>4094.3591000000006</v>
      </c>
    </row>
    <row r="10" spans="1:2" x14ac:dyDescent="0.25">
      <c r="A10" s="17" t="s">
        <v>74</v>
      </c>
      <c r="B10">
        <v>23031.688485999999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3:B9"/>
  <sheetViews>
    <sheetView workbookViewId="0">
      <selection activeCell="C3" sqref="C3"/>
    </sheetView>
  </sheetViews>
  <sheetFormatPr defaultRowHeight="15" x14ac:dyDescent="0.25"/>
  <cols>
    <col min="1" max="1" width="26" bestFit="1" customWidth="1"/>
    <col min="2" max="2" width="19.42578125" bestFit="1" customWidth="1"/>
    <col min="3" max="3" width="32.28515625" bestFit="1" customWidth="1"/>
    <col min="4" max="4" width="11" bestFit="1" customWidth="1"/>
    <col min="5" max="5" width="15.85546875" bestFit="1" customWidth="1"/>
    <col min="6" max="6" width="12.5703125" bestFit="1" customWidth="1"/>
    <col min="7" max="7" width="10.7109375" bestFit="1" customWidth="1"/>
  </cols>
  <sheetData>
    <row r="3" spans="1:2" x14ac:dyDescent="0.25">
      <c r="A3" s="194" t="s">
        <v>76</v>
      </c>
      <c r="B3" t="s">
        <v>77</v>
      </c>
    </row>
    <row r="4" spans="1:2" x14ac:dyDescent="0.25">
      <c r="A4" s="17" t="s">
        <v>65</v>
      </c>
      <c r="B4">
        <v>0</v>
      </c>
    </row>
    <row r="5" spans="1:2" x14ac:dyDescent="0.25">
      <c r="A5" s="17" t="s">
        <v>73</v>
      </c>
      <c r="B5">
        <v>0</v>
      </c>
    </row>
    <row r="6" spans="1:2" x14ac:dyDescent="0.25">
      <c r="A6" s="17" t="s">
        <v>63</v>
      </c>
      <c r="B6">
        <v>0</v>
      </c>
    </row>
    <row r="7" spans="1:2" x14ac:dyDescent="0.25">
      <c r="A7" s="17" t="s">
        <v>68</v>
      </c>
      <c r="B7">
        <v>84.622120700000067</v>
      </c>
    </row>
    <row r="8" spans="1:2" x14ac:dyDescent="0.25">
      <c r="A8" s="17" t="s">
        <v>64</v>
      </c>
      <c r="B8">
        <v>0</v>
      </c>
    </row>
    <row r="9" spans="1:2" x14ac:dyDescent="0.25">
      <c r="A9" s="17" t="s">
        <v>74</v>
      </c>
      <c r="B9">
        <v>84.622120700000067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3:D11"/>
  <sheetViews>
    <sheetView zoomScaleNormal="100" workbookViewId="0">
      <selection activeCell="ABK33" sqref="ABK33"/>
    </sheetView>
  </sheetViews>
  <sheetFormatPr defaultRowHeight="15" x14ac:dyDescent="0.25"/>
  <cols>
    <col min="1" max="1" width="10.7109375" customWidth="1"/>
    <col min="2" max="2" width="14.5703125" bestFit="1" customWidth="1"/>
    <col min="3" max="3" width="9.7109375" bestFit="1" customWidth="1"/>
    <col min="4" max="4" width="11.28515625" bestFit="1" customWidth="1"/>
    <col min="5" max="5" width="13.5703125" bestFit="1" customWidth="1"/>
    <col min="6" max="6" width="14.140625" bestFit="1" customWidth="1"/>
    <col min="7" max="7" width="15.5703125" bestFit="1" customWidth="1"/>
  </cols>
  <sheetData>
    <row r="3" spans="1:4" x14ac:dyDescent="0.25">
      <c r="A3" s="194" t="s">
        <v>44</v>
      </c>
      <c r="B3" s="194" t="s">
        <v>78</v>
      </c>
      <c r="C3" t="s">
        <v>79</v>
      </c>
      <c r="D3" t="s">
        <v>80</v>
      </c>
    </row>
    <row r="4" spans="1:4" x14ac:dyDescent="0.25">
      <c r="A4" t="s">
        <v>81</v>
      </c>
      <c r="B4" s="80">
        <v>0.90504392458789851</v>
      </c>
      <c r="C4">
        <v>10131</v>
      </c>
      <c r="D4">
        <v>9169</v>
      </c>
    </row>
    <row r="5" spans="1:4" x14ac:dyDescent="0.25">
      <c r="A5" t="s">
        <v>82</v>
      </c>
      <c r="B5" s="80">
        <v>0.57399999999999995</v>
      </c>
      <c r="C5">
        <v>1500</v>
      </c>
      <c r="D5">
        <v>861</v>
      </c>
    </row>
    <row r="6" spans="1:4" x14ac:dyDescent="0.25">
      <c r="A6" t="s">
        <v>74</v>
      </c>
      <c r="C6">
        <v>11631</v>
      </c>
      <c r="D6">
        <v>10030</v>
      </c>
    </row>
    <row r="11" spans="1:4" x14ac:dyDescent="0.25">
      <c r="C11" s="71" t="e">
        <f>GETPIVOTDATA("Occupancy  ",$A$3,"DC","Main DC","Utilization %",1)/GETPIVOTDATA("Capacity   ",$A$3,"DC","Main DC","Utilization %",1)</f>
        <v>#REF!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3:E19"/>
  <sheetViews>
    <sheetView workbookViewId="0">
      <selection activeCell="S13" sqref="S13"/>
    </sheetView>
  </sheetViews>
  <sheetFormatPr defaultRowHeight="15" x14ac:dyDescent="0.25"/>
  <cols>
    <col min="1" max="1" width="11.28515625" bestFit="1" customWidth="1"/>
    <col min="2" max="2" width="8.85546875" bestFit="1" customWidth="1"/>
    <col min="3" max="3" width="7" bestFit="1" customWidth="1"/>
    <col min="4" max="4" width="6.5703125" bestFit="1" customWidth="1"/>
    <col min="5" max="5" width="7" bestFit="1" customWidth="1"/>
    <col min="6" max="19" width="10.7109375" customWidth="1"/>
    <col min="20" max="20" width="12" customWidth="1"/>
    <col min="21" max="57" width="18.7109375" customWidth="1"/>
    <col min="58" max="72" width="18.7109375" bestFit="1" customWidth="1"/>
    <col min="73" max="73" width="23.7109375" bestFit="1" customWidth="1"/>
    <col min="74" max="74" width="19.5703125" customWidth="1"/>
    <col min="75" max="75" width="20.85546875" bestFit="1" customWidth="1"/>
    <col min="76" max="76" width="20.140625" bestFit="1" customWidth="1"/>
  </cols>
  <sheetData>
    <row r="3" spans="1:5" x14ac:dyDescent="0.25">
      <c r="A3" s="194" t="s">
        <v>83</v>
      </c>
      <c r="B3" t="s">
        <v>84</v>
      </c>
      <c r="C3" t="s">
        <v>85</v>
      </c>
      <c r="D3" t="s">
        <v>86</v>
      </c>
      <c r="E3" t="s">
        <v>87</v>
      </c>
    </row>
    <row r="4" spans="1:5" x14ac:dyDescent="0.25">
      <c r="A4" s="163">
        <v>43773</v>
      </c>
      <c r="B4">
        <v>7704</v>
      </c>
      <c r="C4">
        <v>12652</v>
      </c>
      <c r="D4">
        <v>1395</v>
      </c>
      <c r="E4">
        <v>7445</v>
      </c>
    </row>
    <row r="5" spans="1:5" x14ac:dyDescent="0.25">
      <c r="A5" s="163">
        <v>43775</v>
      </c>
      <c r="B5">
        <v>7704</v>
      </c>
      <c r="C5">
        <v>12799</v>
      </c>
      <c r="D5">
        <v>1395</v>
      </c>
      <c r="E5">
        <v>7515</v>
      </c>
    </row>
    <row r="6" spans="1:5" x14ac:dyDescent="0.25">
      <c r="A6" s="163">
        <v>43776</v>
      </c>
      <c r="B6">
        <v>7956</v>
      </c>
      <c r="C6">
        <v>13085</v>
      </c>
      <c r="D6">
        <v>1378</v>
      </c>
      <c r="E6">
        <v>7756</v>
      </c>
    </row>
    <row r="7" spans="1:5" x14ac:dyDescent="0.25">
      <c r="A7" s="163">
        <v>43780</v>
      </c>
      <c r="B7">
        <v>7666</v>
      </c>
      <c r="C7">
        <v>14114</v>
      </c>
      <c r="D7">
        <v>1467</v>
      </c>
      <c r="E7">
        <v>7299</v>
      </c>
    </row>
    <row r="8" spans="1:5" x14ac:dyDescent="0.25">
      <c r="A8" s="163">
        <v>43782</v>
      </c>
      <c r="B8">
        <v>7646</v>
      </c>
      <c r="C8">
        <v>14359</v>
      </c>
      <c r="D8">
        <v>1376</v>
      </c>
      <c r="E8">
        <v>7327</v>
      </c>
    </row>
    <row r="9" spans="1:5" x14ac:dyDescent="0.25">
      <c r="A9" s="163">
        <v>43783</v>
      </c>
      <c r="B9">
        <v>7584</v>
      </c>
      <c r="C9">
        <v>14506</v>
      </c>
      <c r="D9">
        <v>1393</v>
      </c>
      <c r="E9">
        <v>7345</v>
      </c>
    </row>
    <row r="10" spans="1:5" x14ac:dyDescent="0.25">
      <c r="A10" s="163">
        <v>43784</v>
      </c>
      <c r="B10">
        <v>7624</v>
      </c>
      <c r="C10">
        <v>14436</v>
      </c>
      <c r="D10">
        <v>1360</v>
      </c>
      <c r="E10">
        <v>7415</v>
      </c>
    </row>
    <row r="11" spans="1:5" x14ac:dyDescent="0.25">
      <c r="A11" s="163">
        <v>43787</v>
      </c>
      <c r="B11">
        <v>7639</v>
      </c>
      <c r="C11">
        <v>14550</v>
      </c>
      <c r="D11">
        <v>1413</v>
      </c>
      <c r="E11">
        <v>6915</v>
      </c>
    </row>
    <row r="12" spans="1:5" x14ac:dyDescent="0.25">
      <c r="A12" s="163">
        <v>43790</v>
      </c>
      <c r="B12">
        <v>7888</v>
      </c>
      <c r="C12">
        <v>14372</v>
      </c>
      <c r="D12">
        <v>1322</v>
      </c>
      <c r="E12">
        <v>7132</v>
      </c>
    </row>
    <row r="13" spans="1:5" x14ac:dyDescent="0.25">
      <c r="A13" s="163">
        <v>43791</v>
      </c>
      <c r="B13">
        <v>7993</v>
      </c>
      <c r="C13">
        <v>14259</v>
      </c>
      <c r="D13">
        <v>1322</v>
      </c>
      <c r="E13">
        <v>7246</v>
      </c>
    </row>
    <row r="14" spans="1:5" x14ac:dyDescent="0.25">
      <c r="A14" s="163">
        <v>43794</v>
      </c>
      <c r="B14">
        <v>7764</v>
      </c>
      <c r="C14">
        <v>13268</v>
      </c>
      <c r="D14">
        <v>1322</v>
      </c>
      <c r="E14">
        <v>7205</v>
      </c>
    </row>
    <row r="15" spans="1:5" x14ac:dyDescent="0.25">
      <c r="A15" s="163">
        <v>43795</v>
      </c>
      <c r="B15">
        <v>7789</v>
      </c>
      <c r="C15">
        <v>13083</v>
      </c>
      <c r="D15">
        <v>1286</v>
      </c>
      <c r="E15">
        <v>7180</v>
      </c>
    </row>
    <row r="16" spans="1:5" x14ac:dyDescent="0.25">
      <c r="A16" s="163">
        <v>43799</v>
      </c>
      <c r="B16">
        <v>7983</v>
      </c>
      <c r="C16">
        <v>13316</v>
      </c>
      <c r="D16">
        <v>1514</v>
      </c>
      <c r="E16">
        <v>7226</v>
      </c>
    </row>
    <row r="17" spans="1:5" x14ac:dyDescent="0.25">
      <c r="A17" s="163">
        <v>43802</v>
      </c>
      <c r="B17">
        <v>7337</v>
      </c>
      <c r="C17">
        <v>13276</v>
      </c>
      <c r="D17">
        <v>1511</v>
      </c>
      <c r="E17">
        <v>7171</v>
      </c>
    </row>
    <row r="18" spans="1:5" x14ac:dyDescent="0.25">
      <c r="A18" s="163" t="s">
        <v>88</v>
      </c>
    </row>
    <row r="19" spans="1:5" x14ac:dyDescent="0.25">
      <c r="A19" s="163" t="s">
        <v>74</v>
      </c>
      <c r="B19">
        <v>108277</v>
      </c>
      <c r="C19">
        <v>192075</v>
      </c>
      <c r="D19">
        <v>19454</v>
      </c>
      <c r="E19">
        <v>102177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4"/>
  <dimension ref="A1:M30"/>
  <sheetViews>
    <sheetView workbookViewId="0">
      <selection activeCell="B22" sqref="B22"/>
    </sheetView>
  </sheetViews>
  <sheetFormatPr defaultRowHeight="15" x14ac:dyDescent="0.25"/>
  <cols>
    <col min="1" max="1" width="12.5703125" customWidth="1"/>
    <col min="2" max="2" width="19" customWidth="1"/>
    <col min="3" max="3" width="12.85546875" customWidth="1"/>
    <col min="4" max="4" width="10.140625" bestFit="1" customWidth="1"/>
    <col min="5" max="5" width="18.140625" bestFit="1" customWidth="1"/>
    <col min="6" max="6" width="13.140625" bestFit="1" customWidth="1"/>
    <col min="7" max="7" width="9.42578125" bestFit="1" customWidth="1"/>
    <col min="8" max="8" width="15.42578125" bestFit="1" customWidth="1"/>
    <col min="9" max="9" width="17.42578125" bestFit="1" customWidth="1"/>
    <col min="10" max="10" width="15.42578125" customWidth="1"/>
    <col min="11" max="11" width="12.85546875" customWidth="1"/>
    <col min="12" max="12" width="12.42578125" bestFit="1" customWidth="1"/>
    <col min="13" max="13" width="11.42578125" customWidth="1"/>
  </cols>
  <sheetData>
    <row r="1" spans="1:13" x14ac:dyDescent="0.25">
      <c r="A1" s="174" t="s">
        <v>83</v>
      </c>
      <c r="B1" s="174" t="s">
        <v>89</v>
      </c>
      <c r="C1" s="174" t="s">
        <v>90</v>
      </c>
      <c r="E1" s="174" t="s">
        <v>91</v>
      </c>
      <c r="F1" s="174" t="s">
        <v>92</v>
      </c>
      <c r="G1" s="174" t="s">
        <v>83</v>
      </c>
      <c r="H1" s="174" t="s">
        <v>89</v>
      </c>
      <c r="I1" s="174" t="s">
        <v>91</v>
      </c>
      <c r="J1" s="174" t="s">
        <v>93</v>
      </c>
      <c r="K1" s="174" t="s">
        <v>90</v>
      </c>
      <c r="L1" s="174" t="s">
        <v>92</v>
      </c>
      <c r="M1" s="174" t="s">
        <v>94</v>
      </c>
    </row>
    <row r="2" spans="1:13" x14ac:dyDescent="0.25">
      <c r="A2" s="94">
        <v>44307</v>
      </c>
      <c r="B2" s="175">
        <v>342451</v>
      </c>
      <c r="C2" s="173">
        <v>65044</v>
      </c>
      <c r="E2" s="177">
        <f>H2</f>
        <v>342451</v>
      </c>
      <c r="F2" s="177">
        <f>K2</f>
        <v>65044</v>
      </c>
      <c r="G2" s="94">
        <v>44307</v>
      </c>
      <c r="H2" s="175">
        <v>342451</v>
      </c>
      <c r="I2" s="175" t="e">
        <f>H2+I1</f>
        <v>#VALUE!</v>
      </c>
      <c r="J2" s="176" t="e">
        <f t="shared" ref="J2:J7" si="0">I2/$H$8</f>
        <v>#VALUE!</v>
      </c>
      <c r="K2" s="173">
        <v>65044</v>
      </c>
      <c r="L2" s="173" t="e">
        <f>K2+L1</f>
        <v>#VALUE!</v>
      </c>
      <c r="M2" s="9" t="e">
        <f t="shared" ref="M2:M7" si="1">L2/$K$8</f>
        <v>#VALUE!</v>
      </c>
    </row>
    <row r="3" spans="1:13" x14ac:dyDescent="0.25">
      <c r="A3" s="94">
        <v>44308</v>
      </c>
      <c r="B3" s="175">
        <v>352362</v>
      </c>
      <c r="C3" s="173">
        <v>66253</v>
      </c>
      <c r="E3" s="177">
        <f>H3+E2</f>
        <v>694813</v>
      </c>
      <c r="F3" s="177">
        <f>F2+K3</f>
        <v>131297</v>
      </c>
      <c r="G3" s="94">
        <v>44308</v>
      </c>
      <c r="H3" s="175">
        <v>352362</v>
      </c>
      <c r="I3" s="175">
        <f>H3</f>
        <v>352362</v>
      </c>
      <c r="J3" s="176">
        <f t="shared" si="0"/>
        <v>0.18940043465357023</v>
      </c>
      <c r="K3" s="173">
        <v>66253</v>
      </c>
      <c r="L3" s="173">
        <f>K3</f>
        <v>66253</v>
      </c>
      <c r="M3" s="9">
        <f t="shared" si="1"/>
        <v>0.19224881228555685</v>
      </c>
    </row>
    <row r="4" spans="1:13" x14ac:dyDescent="0.25">
      <c r="A4" s="94">
        <v>44309</v>
      </c>
      <c r="B4" s="175">
        <v>327830</v>
      </c>
      <c r="C4" s="173">
        <v>60403</v>
      </c>
      <c r="E4" s="177">
        <f>H4+E3</f>
        <v>1022643</v>
      </c>
      <c r="F4" s="177">
        <f>F3+K4</f>
        <v>191700</v>
      </c>
      <c r="G4" s="94">
        <v>44309</v>
      </c>
      <c r="H4" s="175">
        <v>327830</v>
      </c>
      <c r="I4" s="175">
        <f>H4+I3</f>
        <v>680192</v>
      </c>
      <c r="J4" s="176">
        <f t="shared" si="0"/>
        <v>0.36561451134878686</v>
      </c>
      <c r="K4" s="173">
        <v>60403</v>
      </c>
      <c r="L4" s="173">
        <f>K4+L3</f>
        <v>126656</v>
      </c>
      <c r="M4" s="9">
        <f t="shared" si="1"/>
        <v>0.36752246039937042</v>
      </c>
    </row>
    <row r="5" spans="1:13" x14ac:dyDescent="0.25">
      <c r="A5" s="94">
        <v>44313</v>
      </c>
      <c r="B5" s="175">
        <v>272418.2885245902</v>
      </c>
      <c r="C5" s="173">
        <v>49725.667049180323</v>
      </c>
      <c r="E5" s="177">
        <f>H5+E4</f>
        <v>1295061.2885245902</v>
      </c>
      <c r="F5" s="177">
        <f>F4+K5</f>
        <v>241425.66704918031</v>
      </c>
      <c r="G5" s="94">
        <v>44313</v>
      </c>
      <c r="H5" s="175">
        <v>272418.2885245902</v>
      </c>
      <c r="I5" s="175">
        <f>H5+I4</f>
        <v>952610.2885245902</v>
      </c>
      <c r="J5" s="176">
        <f t="shared" si="0"/>
        <v>0.51204387164910037</v>
      </c>
      <c r="K5" s="173">
        <v>49725.667049180323</v>
      </c>
      <c r="L5" s="173">
        <f>K5+L4</f>
        <v>176381.66704918031</v>
      </c>
      <c r="M5" s="9">
        <f t="shared" si="1"/>
        <v>0.51181329146078602</v>
      </c>
    </row>
    <row r="6" spans="1:13" x14ac:dyDescent="0.25">
      <c r="A6" s="94">
        <v>44314</v>
      </c>
      <c r="B6" s="175">
        <v>285358</v>
      </c>
      <c r="C6" s="173">
        <v>52088</v>
      </c>
      <c r="E6" s="177">
        <f>H6+E5</f>
        <v>1580419.2885245902</v>
      </c>
      <c r="F6" s="177">
        <f>F5+K6</f>
        <v>293513.66704918031</v>
      </c>
      <c r="G6" s="94">
        <v>44314</v>
      </c>
      <c r="H6" s="175">
        <v>285358</v>
      </c>
      <c r="I6" s="175">
        <f>H6+I5</f>
        <v>1237968.2885245902</v>
      </c>
      <c r="J6" s="176">
        <f t="shared" si="0"/>
        <v>0.66542854205020352</v>
      </c>
      <c r="K6" s="173">
        <v>52088</v>
      </c>
      <c r="L6" s="173">
        <f>K6+L5</f>
        <v>228469.66704918031</v>
      </c>
      <c r="M6" s="9">
        <f t="shared" si="1"/>
        <v>0.66295899255100199</v>
      </c>
    </row>
    <row r="7" spans="1:13" x14ac:dyDescent="0.25">
      <c r="A7" s="94">
        <v>44315</v>
      </c>
      <c r="B7" s="175">
        <v>279988.26885245898</v>
      </c>
      <c r="C7" s="173">
        <v>51107.447704918035</v>
      </c>
      <c r="E7" s="177">
        <f>H7+E6</f>
        <v>1860407.5573770492</v>
      </c>
      <c r="F7" s="177">
        <f>F6+K7</f>
        <v>344621.11475409835</v>
      </c>
      <c r="G7" s="94">
        <v>44315</v>
      </c>
      <c r="H7" s="175">
        <v>279988.26885245898</v>
      </c>
      <c r="I7" s="175">
        <f>H7+I6</f>
        <v>1517956.5573770492</v>
      </c>
      <c r="J7" s="176">
        <f t="shared" si="0"/>
        <v>0.81592689266280194</v>
      </c>
      <c r="K7" s="173">
        <v>51107.447704918035</v>
      </c>
      <c r="L7" s="173">
        <f>K7+L6</f>
        <v>279577.11475409835</v>
      </c>
      <c r="M7" s="9">
        <f t="shared" si="1"/>
        <v>0.81125938830993671</v>
      </c>
    </row>
    <row r="8" spans="1:13" x14ac:dyDescent="0.25">
      <c r="A8" s="7"/>
      <c r="B8" s="7"/>
      <c r="C8" s="173"/>
      <c r="H8" s="100">
        <f>SUM(H2:H7)</f>
        <v>1860407.5573770492</v>
      </c>
      <c r="K8" s="100">
        <f>SUM(K2:K7)</f>
        <v>344621.11475409835</v>
      </c>
    </row>
    <row r="9" spans="1:13" x14ac:dyDescent="0.25">
      <c r="A9" s="7"/>
      <c r="B9" s="7"/>
      <c r="C9" s="7"/>
    </row>
    <row r="13" spans="1:13" x14ac:dyDescent="0.25">
      <c r="C13" s="134"/>
      <c r="D13" s="134"/>
    </row>
    <row r="14" spans="1:13" x14ac:dyDescent="0.25">
      <c r="B14" s="28"/>
      <c r="C14" s="79"/>
      <c r="D14" s="79"/>
    </row>
    <row r="30" s="454" customFormat="1" x14ac:dyDescent="0.25"/>
  </sheetData>
  <sortState xmlns:xlrd2="http://schemas.microsoft.com/office/spreadsheetml/2017/richdata2" ref="G2:M8">
    <sortCondition ref="G2"/>
  </sortState>
  <mergeCells count="1">
    <mergeCell ref="A30:XFD30"/>
  </mergeCells>
  <pageMargins left="0.7" right="0.7" top="0.75" bottom="0.75" header="0.3" footer="0.3"/>
  <ignoredErrors>
    <ignoredError sqref="I3" formula="1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C31A0-58F8-4964-BAA8-30EE0878EEE4}">
  <sheetPr codeName="Sheet15"/>
  <dimension ref="A1:ACO164"/>
  <sheetViews>
    <sheetView showGridLines="0" topLeftCell="ABC72" zoomScale="82" zoomScaleNormal="82" workbookViewId="0">
      <selection activeCell="ABK87" sqref="ABK87"/>
    </sheetView>
  </sheetViews>
  <sheetFormatPr defaultColWidth="8.7109375" defaultRowHeight="15" x14ac:dyDescent="0.25"/>
  <cols>
    <col min="1" max="1" width="13.28515625" customWidth="1"/>
    <col min="2" max="2" width="13.140625" style="3" customWidth="1"/>
    <col min="3" max="3" width="11.85546875" bestFit="1" customWidth="1"/>
    <col min="4" max="4" width="12.42578125" customWidth="1"/>
    <col min="5" max="5" width="11.85546875" bestFit="1" customWidth="1"/>
    <col min="6" max="6" width="12.85546875" customWidth="1"/>
    <col min="7" max="11" width="11.28515625" bestFit="1" customWidth="1"/>
    <col min="12" max="12" width="12.42578125" bestFit="1" customWidth="1"/>
    <col min="13" max="17" width="11.85546875" bestFit="1" customWidth="1"/>
    <col min="18" max="18" width="11.85546875" customWidth="1"/>
    <col min="19" max="19" width="13.42578125" customWidth="1"/>
    <col min="20" max="22" width="12.42578125" bestFit="1" customWidth="1"/>
    <col min="23" max="141" width="11.85546875" customWidth="1"/>
    <col min="142" max="168" width="12" customWidth="1"/>
    <col min="169" max="169" width="13.5703125" bestFit="1" customWidth="1"/>
    <col min="170" max="187" width="13.5703125" customWidth="1"/>
    <col min="188" max="283" width="13.7109375" customWidth="1"/>
    <col min="284" max="284" width="4.85546875" customWidth="1"/>
    <col min="285" max="285" width="13.7109375" customWidth="1"/>
    <col min="286" max="287" width="4.85546875" customWidth="1"/>
    <col min="288" max="288" width="12.85546875" customWidth="1"/>
    <col min="289" max="289" width="13.7109375" customWidth="1"/>
    <col min="290" max="343" width="15.42578125" customWidth="1"/>
    <col min="344" max="405" width="15.85546875" customWidth="1"/>
    <col min="406" max="412" width="15.42578125" customWidth="1"/>
    <col min="413" max="413" width="11" customWidth="1"/>
    <col min="414" max="414" width="10.85546875" bestFit="1" customWidth="1"/>
    <col min="415" max="568" width="10.85546875" customWidth="1"/>
    <col min="569" max="569" width="29.42578125" bestFit="1" customWidth="1"/>
    <col min="570" max="570" width="21" bestFit="1" customWidth="1"/>
    <col min="571" max="571" width="11.42578125" bestFit="1" customWidth="1"/>
    <col min="572" max="572" width="16.5703125" bestFit="1" customWidth="1"/>
    <col min="573" max="573" width="13.5703125" bestFit="1" customWidth="1"/>
    <col min="574" max="574" width="27.140625" bestFit="1" customWidth="1"/>
    <col min="575" max="575" width="8.42578125" bestFit="1" customWidth="1"/>
    <col min="576" max="576" width="11.140625" bestFit="1" customWidth="1"/>
    <col min="577" max="664" width="10.85546875" customWidth="1"/>
    <col min="665" max="666" width="11.5703125" bestFit="1" customWidth="1"/>
    <col min="667" max="732" width="11.5703125" customWidth="1"/>
    <col min="733" max="733" width="22.28515625" customWidth="1"/>
    <col min="734" max="734" width="21.28515625" style="111" customWidth="1"/>
    <col min="735" max="735" width="19.140625" bestFit="1" customWidth="1"/>
    <col min="736" max="736" width="17.28515625" customWidth="1"/>
    <col min="737" max="737" width="16.5703125" customWidth="1"/>
    <col min="738" max="738" width="19.7109375" customWidth="1"/>
    <col min="739" max="739" width="14.140625" customWidth="1"/>
    <col min="740" max="740" width="24" customWidth="1"/>
    <col min="741" max="741" width="14.85546875" customWidth="1"/>
    <col min="742" max="742" width="9.28515625" customWidth="1"/>
    <col min="744" max="744" width="83.42578125" customWidth="1"/>
    <col min="746" max="746" width="16.85546875" customWidth="1"/>
    <col min="747" max="749" width="16.85546875" style="50" customWidth="1"/>
    <col min="750" max="750" width="16.42578125" style="50" customWidth="1"/>
    <col min="751" max="751" width="9.140625" customWidth="1"/>
    <col min="753" max="753" width="19.85546875" customWidth="1"/>
  </cols>
  <sheetData>
    <row r="1" spans="1:769" s="4" customFormat="1" ht="27" customHeight="1" x14ac:dyDescent="0.25">
      <c r="A1" s="5" t="s">
        <v>44</v>
      </c>
      <c r="B1" s="5"/>
      <c r="C1" s="5" t="s">
        <v>45</v>
      </c>
      <c r="D1" s="5" t="s">
        <v>95</v>
      </c>
      <c r="E1" s="5" t="s">
        <v>96</v>
      </c>
      <c r="F1" s="11">
        <v>43111</v>
      </c>
      <c r="G1" s="11">
        <v>43231</v>
      </c>
      <c r="H1" s="11">
        <v>43262</v>
      </c>
      <c r="I1" s="11">
        <v>43292</v>
      </c>
      <c r="J1" s="11">
        <v>43323</v>
      </c>
      <c r="K1" s="11">
        <v>43354</v>
      </c>
      <c r="L1" s="11">
        <v>43445</v>
      </c>
      <c r="M1" s="11" t="s">
        <v>97</v>
      </c>
      <c r="N1" s="11" t="s">
        <v>98</v>
      </c>
      <c r="O1" s="11" t="s">
        <v>99</v>
      </c>
      <c r="P1" s="11" t="s">
        <v>100</v>
      </c>
      <c r="Q1" s="11" t="s">
        <v>101</v>
      </c>
      <c r="R1" s="11" t="s">
        <v>102</v>
      </c>
      <c r="S1" s="11">
        <v>43431</v>
      </c>
      <c r="T1" s="11">
        <v>43432</v>
      </c>
      <c r="U1" s="11">
        <v>43433</v>
      </c>
      <c r="V1" s="11">
        <v>43434</v>
      </c>
      <c r="W1" s="11">
        <v>43435</v>
      </c>
      <c r="X1" s="11">
        <v>43436</v>
      </c>
      <c r="Y1" s="11">
        <v>43437</v>
      </c>
      <c r="Z1" s="11">
        <v>43438</v>
      </c>
      <c r="AA1" s="11">
        <v>43439</v>
      </c>
      <c r="AB1" s="11">
        <v>43440</v>
      </c>
      <c r="AC1" s="11">
        <v>43443</v>
      </c>
      <c r="AD1" s="11">
        <v>43444</v>
      </c>
      <c r="AE1" s="11">
        <v>43445</v>
      </c>
      <c r="AF1" s="11">
        <v>43447</v>
      </c>
      <c r="AG1" s="11">
        <v>43451</v>
      </c>
      <c r="AH1" s="11">
        <v>43453</v>
      </c>
      <c r="AI1" s="11">
        <v>43454</v>
      </c>
      <c r="AJ1" s="11">
        <v>43461</v>
      </c>
      <c r="AK1" s="11">
        <v>43462</v>
      </c>
      <c r="AL1" s="11">
        <v>43102</v>
      </c>
      <c r="AM1" s="11">
        <v>43104</v>
      </c>
      <c r="AN1" s="11">
        <v>43472</v>
      </c>
      <c r="AO1" s="11">
        <v>43473</v>
      </c>
      <c r="AP1" s="11">
        <v>43474</v>
      </c>
      <c r="AQ1" s="11">
        <v>43475</v>
      </c>
      <c r="AR1" s="11">
        <v>43476</v>
      </c>
      <c r="AS1" s="11">
        <v>43479</v>
      </c>
      <c r="AT1" s="11">
        <v>43481</v>
      </c>
      <c r="AU1" s="11">
        <v>43483</v>
      </c>
      <c r="AV1" s="11">
        <v>43486</v>
      </c>
      <c r="AW1" s="11">
        <v>43487</v>
      </c>
      <c r="AX1" s="11">
        <v>43489</v>
      </c>
      <c r="AY1" s="11">
        <v>43490</v>
      </c>
      <c r="AZ1" s="11">
        <v>43494</v>
      </c>
      <c r="BA1" s="11">
        <v>43495</v>
      </c>
      <c r="BB1" s="11">
        <v>43496</v>
      </c>
      <c r="BC1" s="11">
        <v>43497</v>
      </c>
      <c r="BD1" s="11">
        <v>43501</v>
      </c>
      <c r="BE1" s="11">
        <v>43502</v>
      </c>
      <c r="BF1" s="11">
        <v>43503</v>
      </c>
      <c r="BG1" s="11">
        <v>43504</v>
      </c>
      <c r="BH1" s="11">
        <v>43506</v>
      </c>
      <c r="BI1" s="11">
        <v>43509</v>
      </c>
      <c r="BJ1" s="11">
        <v>43510</v>
      </c>
      <c r="BK1" s="11">
        <v>43511</v>
      </c>
      <c r="BL1" s="11">
        <v>43514</v>
      </c>
      <c r="BM1" s="11">
        <v>43516</v>
      </c>
      <c r="BN1" s="11">
        <v>43517</v>
      </c>
      <c r="BO1" s="11">
        <v>43518</v>
      </c>
      <c r="BP1" s="11">
        <v>43521</v>
      </c>
      <c r="BQ1" s="11">
        <v>43522</v>
      </c>
      <c r="BR1" s="11">
        <v>43523</v>
      </c>
      <c r="BS1" s="11">
        <v>43524</v>
      </c>
      <c r="BT1" s="11">
        <v>43525</v>
      </c>
      <c r="BU1" s="11">
        <v>43528</v>
      </c>
      <c r="BV1" s="11">
        <v>43529</v>
      </c>
      <c r="BW1" s="11">
        <v>43530</v>
      </c>
      <c r="BX1" s="11">
        <v>43531</v>
      </c>
      <c r="BY1" s="11">
        <v>43532</v>
      </c>
      <c r="BZ1" s="11">
        <v>43535</v>
      </c>
      <c r="CA1" s="11">
        <v>43536</v>
      </c>
      <c r="CB1" s="11">
        <v>43537</v>
      </c>
      <c r="CC1" s="11">
        <v>43538</v>
      </c>
      <c r="CD1" s="11">
        <v>43539</v>
      </c>
      <c r="CE1" s="11">
        <v>43542</v>
      </c>
      <c r="CF1" s="11">
        <v>43545</v>
      </c>
      <c r="CG1" s="11">
        <v>43546</v>
      </c>
      <c r="CH1" s="11">
        <v>43549</v>
      </c>
      <c r="CI1" s="11">
        <v>43550</v>
      </c>
      <c r="CJ1" s="11">
        <v>43551</v>
      </c>
      <c r="CK1" s="11">
        <v>43552</v>
      </c>
      <c r="CL1" s="11">
        <v>43558</v>
      </c>
      <c r="CM1" s="11">
        <v>43560</v>
      </c>
      <c r="CN1" s="11">
        <v>43564</v>
      </c>
      <c r="CO1" s="11">
        <v>43566</v>
      </c>
      <c r="CP1" s="11">
        <v>43577</v>
      </c>
      <c r="CQ1" s="11">
        <v>43579</v>
      </c>
      <c r="CR1" s="11">
        <v>43580</v>
      </c>
      <c r="CS1" s="11">
        <v>43581</v>
      </c>
      <c r="CT1" s="11">
        <v>43584</v>
      </c>
      <c r="CU1" s="11">
        <v>43585</v>
      </c>
      <c r="CV1" s="11">
        <v>43587</v>
      </c>
      <c r="CW1" s="11">
        <v>43606</v>
      </c>
      <c r="CX1" s="11">
        <v>43607</v>
      </c>
      <c r="CY1" s="11">
        <v>43608</v>
      </c>
      <c r="CZ1" s="11">
        <v>43609</v>
      </c>
      <c r="DA1" s="11">
        <v>43612</v>
      </c>
      <c r="DB1" s="11">
        <v>43613</v>
      </c>
      <c r="DC1" s="11">
        <v>43614</v>
      </c>
      <c r="DD1" s="11">
        <v>43615</v>
      </c>
      <c r="DE1" s="11">
        <v>43616</v>
      </c>
      <c r="DF1" s="11">
        <v>43617</v>
      </c>
      <c r="DG1" s="11">
        <v>43620</v>
      </c>
      <c r="DH1" s="11">
        <v>43621</v>
      </c>
      <c r="DI1" s="11">
        <v>43622</v>
      </c>
      <c r="DJ1" s="11">
        <v>43626</v>
      </c>
      <c r="DK1" s="11">
        <v>43627</v>
      </c>
      <c r="DL1" s="11">
        <v>43628</v>
      </c>
      <c r="DM1" s="11">
        <v>43629</v>
      </c>
      <c r="DN1" s="11">
        <v>43630</v>
      </c>
      <c r="DO1" s="11">
        <v>43633</v>
      </c>
      <c r="DP1" s="11">
        <v>43634</v>
      </c>
      <c r="DQ1" s="11">
        <v>43635</v>
      </c>
      <c r="DR1" s="11">
        <v>43636</v>
      </c>
      <c r="DS1" s="11">
        <v>43637</v>
      </c>
      <c r="DT1" s="11">
        <v>43640</v>
      </c>
      <c r="DU1" s="11">
        <v>43641</v>
      </c>
      <c r="DV1" s="11">
        <v>43643</v>
      </c>
      <c r="DW1" s="11">
        <v>43644</v>
      </c>
      <c r="DX1" s="11">
        <v>43647</v>
      </c>
      <c r="DY1" s="11">
        <v>43648</v>
      </c>
      <c r="DZ1" s="11">
        <v>43651</v>
      </c>
      <c r="EA1" s="11">
        <v>43654</v>
      </c>
      <c r="EB1" s="11">
        <v>43655</v>
      </c>
      <c r="EC1" s="11">
        <v>43656</v>
      </c>
      <c r="ED1" s="11">
        <v>43657</v>
      </c>
      <c r="EE1" s="11">
        <v>43658</v>
      </c>
      <c r="EF1" s="11">
        <v>43661</v>
      </c>
      <c r="EG1" s="11">
        <v>43663</v>
      </c>
      <c r="EH1" s="11">
        <v>43664</v>
      </c>
      <c r="EI1" s="11">
        <v>43665</v>
      </c>
      <c r="EJ1" s="11">
        <v>43669</v>
      </c>
      <c r="EK1" s="11">
        <v>43670</v>
      </c>
      <c r="EL1" s="11">
        <v>43671</v>
      </c>
      <c r="EM1" s="11">
        <v>43672</v>
      </c>
      <c r="EN1" s="11">
        <v>43675</v>
      </c>
      <c r="EO1" s="11">
        <v>43676</v>
      </c>
      <c r="EP1" s="11">
        <v>43677</v>
      </c>
      <c r="EQ1" s="11">
        <v>43679</v>
      </c>
      <c r="ER1" s="11">
        <v>43682</v>
      </c>
      <c r="ES1" s="11">
        <v>43684</v>
      </c>
      <c r="ET1" s="11">
        <v>43686</v>
      </c>
      <c r="EU1" s="11">
        <v>43689</v>
      </c>
      <c r="EV1" s="11">
        <v>43690</v>
      </c>
      <c r="EW1" s="11">
        <v>43692</v>
      </c>
      <c r="EX1" s="11">
        <v>43693</v>
      </c>
      <c r="EY1" s="11">
        <v>43700</v>
      </c>
      <c r="EZ1" s="11">
        <v>43726</v>
      </c>
      <c r="FA1" s="11">
        <v>43727</v>
      </c>
      <c r="FB1" s="11">
        <v>43728</v>
      </c>
      <c r="FC1" s="11">
        <v>43729</v>
      </c>
      <c r="FD1" s="11">
        <v>43735</v>
      </c>
      <c r="FE1" s="11">
        <v>43738</v>
      </c>
      <c r="FF1" s="11">
        <v>43739</v>
      </c>
      <c r="FG1" s="11">
        <v>43740</v>
      </c>
      <c r="FH1" s="11">
        <v>43741</v>
      </c>
      <c r="FI1" s="11">
        <v>43742</v>
      </c>
      <c r="FJ1" s="11">
        <v>43745</v>
      </c>
      <c r="FK1" s="11">
        <v>43746</v>
      </c>
      <c r="FL1" s="11">
        <v>43747</v>
      </c>
      <c r="FM1" s="11">
        <v>43748</v>
      </c>
      <c r="FN1" s="11">
        <v>43749</v>
      </c>
      <c r="FO1" s="11">
        <v>43752</v>
      </c>
      <c r="FP1" s="11">
        <v>43753</v>
      </c>
      <c r="FQ1" s="11">
        <v>43755</v>
      </c>
      <c r="FR1" s="11">
        <v>43756</v>
      </c>
      <c r="FS1" s="11">
        <v>43759</v>
      </c>
      <c r="FT1" s="11">
        <v>43760</v>
      </c>
      <c r="FU1" s="11">
        <v>43761</v>
      </c>
      <c r="FV1" s="11">
        <v>43762</v>
      </c>
      <c r="FW1" s="11">
        <v>43766</v>
      </c>
      <c r="FX1" s="11">
        <v>43767</v>
      </c>
      <c r="FY1" s="11">
        <v>43768</v>
      </c>
      <c r="FZ1" s="11">
        <v>43773</v>
      </c>
      <c r="GA1" s="11">
        <v>43775</v>
      </c>
      <c r="GB1" s="11">
        <v>43776</v>
      </c>
      <c r="GC1" s="11">
        <v>43780</v>
      </c>
      <c r="GD1" s="11">
        <v>43782</v>
      </c>
      <c r="GE1" s="11">
        <v>43783</v>
      </c>
      <c r="GF1" s="11">
        <v>43784</v>
      </c>
      <c r="GG1" s="11">
        <v>43787</v>
      </c>
      <c r="GH1" s="11">
        <v>43790</v>
      </c>
      <c r="GI1" s="11">
        <v>43791</v>
      </c>
      <c r="GJ1" s="11">
        <v>43794</v>
      </c>
      <c r="GK1" s="11">
        <v>43795</v>
      </c>
      <c r="GL1" s="11">
        <v>43799</v>
      </c>
      <c r="GM1" s="11">
        <v>43802</v>
      </c>
      <c r="GN1" s="11">
        <v>43803</v>
      </c>
      <c r="GO1" s="11">
        <v>43804</v>
      </c>
      <c r="GP1" s="11">
        <v>43805</v>
      </c>
      <c r="GQ1" s="11">
        <v>43808</v>
      </c>
      <c r="GR1" s="11">
        <v>43809</v>
      </c>
      <c r="GS1" s="11">
        <v>43811</v>
      </c>
      <c r="GT1" s="11">
        <v>43815</v>
      </c>
      <c r="GU1" s="11">
        <v>43816</v>
      </c>
      <c r="GV1" s="11">
        <v>43818</v>
      </c>
      <c r="GW1" s="11">
        <v>43819</v>
      </c>
      <c r="GX1" s="11">
        <v>43822</v>
      </c>
      <c r="GY1" s="11">
        <v>43825</v>
      </c>
      <c r="GZ1" s="11">
        <v>43829</v>
      </c>
      <c r="HA1" s="11">
        <v>43832</v>
      </c>
      <c r="HB1" s="11">
        <v>43833</v>
      </c>
      <c r="HC1" s="11">
        <v>43836</v>
      </c>
      <c r="HD1" s="11">
        <v>43837</v>
      </c>
      <c r="HE1" s="11">
        <v>43838</v>
      </c>
      <c r="HF1" s="11">
        <v>43839</v>
      </c>
      <c r="HG1" s="11">
        <v>43843</v>
      </c>
      <c r="HH1" s="11">
        <v>43847</v>
      </c>
      <c r="HI1" s="11">
        <v>43850</v>
      </c>
      <c r="HJ1" s="11">
        <v>43852</v>
      </c>
      <c r="HK1" s="11">
        <v>43853</v>
      </c>
      <c r="HL1" s="11">
        <v>43857</v>
      </c>
      <c r="HM1" s="11">
        <v>43859</v>
      </c>
      <c r="HN1" s="11">
        <v>43860</v>
      </c>
      <c r="HO1" s="11">
        <v>43864</v>
      </c>
      <c r="HP1" s="11">
        <v>43867</v>
      </c>
      <c r="HQ1" s="11">
        <v>43868</v>
      </c>
      <c r="HR1" s="11">
        <v>43871</v>
      </c>
      <c r="HS1" s="11">
        <v>43872</v>
      </c>
      <c r="HT1" s="11">
        <v>43873</v>
      </c>
      <c r="HU1" s="11">
        <v>43874</v>
      </c>
      <c r="HV1" s="11">
        <v>43875</v>
      </c>
      <c r="HW1" s="11">
        <v>43878</v>
      </c>
      <c r="HX1" s="11">
        <v>43879</v>
      </c>
      <c r="HY1" s="11">
        <v>43880</v>
      </c>
      <c r="HZ1" s="11">
        <v>43881</v>
      </c>
      <c r="IA1" s="11">
        <v>43885</v>
      </c>
      <c r="IB1" s="11">
        <v>43886</v>
      </c>
      <c r="IC1" s="11">
        <v>43887</v>
      </c>
      <c r="ID1" s="11">
        <v>43888</v>
      </c>
      <c r="IE1" s="11">
        <v>43889</v>
      </c>
      <c r="IF1" s="11">
        <v>43892</v>
      </c>
      <c r="IG1" s="11">
        <v>43893</v>
      </c>
      <c r="IH1" s="11">
        <v>43894</v>
      </c>
      <c r="II1" s="11">
        <v>43895</v>
      </c>
      <c r="IJ1" s="11">
        <v>43896</v>
      </c>
      <c r="IK1" s="11">
        <v>43900</v>
      </c>
      <c r="IL1" s="11">
        <v>43901</v>
      </c>
      <c r="IM1" s="11">
        <v>43902</v>
      </c>
      <c r="IN1" s="11">
        <v>43903</v>
      </c>
      <c r="IO1" s="11">
        <v>43907</v>
      </c>
      <c r="IP1" s="11">
        <v>43908</v>
      </c>
      <c r="IQ1" s="11">
        <v>43909</v>
      </c>
      <c r="IR1" s="11">
        <v>43910</v>
      </c>
      <c r="IS1" s="11">
        <v>43913</v>
      </c>
      <c r="IT1" s="11">
        <v>43915</v>
      </c>
      <c r="IU1" s="11">
        <v>43916</v>
      </c>
      <c r="IV1" s="11">
        <v>43920</v>
      </c>
      <c r="IW1" s="11">
        <v>43922</v>
      </c>
      <c r="IX1" s="11">
        <v>43927</v>
      </c>
      <c r="IY1" s="11">
        <v>43930</v>
      </c>
      <c r="IZ1" s="11">
        <v>43936</v>
      </c>
      <c r="JA1" s="11">
        <v>43941</v>
      </c>
      <c r="JB1" s="11">
        <v>43942</v>
      </c>
      <c r="JC1" s="11">
        <v>43943</v>
      </c>
      <c r="JD1" s="11">
        <v>43948</v>
      </c>
      <c r="JE1" s="11">
        <v>43949</v>
      </c>
      <c r="JF1" s="11">
        <v>43950</v>
      </c>
      <c r="JG1" s="11">
        <v>43951</v>
      </c>
      <c r="JH1" s="11">
        <v>43955</v>
      </c>
      <c r="JI1" s="11">
        <v>43956</v>
      </c>
      <c r="JJ1" s="11">
        <v>43957</v>
      </c>
      <c r="JK1" s="11">
        <v>43962</v>
      </c>
      <c r="JL1" s="11">
        <v>43963</v>
      </c>
      <c r="JM1" s="11">
        <v>43964</v>
      </c>
      <c r="JN1" s="11">
        <v>43965</v>
      </c>
      <c r="JO1" s="11">
        <v>43966</v>
      </c>
      <c r="JP1" s="11">
        <v>43969</v>
      </c>
      <c r="JQ1" s="11">
        <v>43970</v>
      </c>
      <c r="JR1" s="11">
        <v>43971</v>
      </c>
      <c r="JS1" s="11">
        <v>43972</v>
      </c>
      <c r="JT1" s="11">
        <v>43973</v>
      </c>
      <c r="JU1" s="11">
        <v>43976</v>
      </c>
      <c r="JV1" s="11">
        <v>43977</v>
      </c>
      <c r="JW1" s="101">
        <v>43978</v>
      </c>
      <c r="JX1" s="474" t="s">
        <v>103</v>
      </c>
      <c r="JY1" s="105" t="s">
        <v>44</v>
      </c>
      <c r="JZ1" s="46"/>
      <c r="KA1" s="44"/>
      <c r="KB1" s="83" t="s">
        <v>44</v>
      </c>
      <c r="KC1" s="11">
        <v>43979</v>
      </c>
      <c r="KD1" s="11">
        <v>43980</v>
      </c>
      <c r="KE1" s="11">
        <v>43983</v>
      </c>
      <c r="KF1" s="11">
        <v>43984</v>
      </c>
      <c r="KG1" s="11">
        <v>43985</v>
      </c>
      <c r="KH1" s="11">
        <v>43986</v>
      </c>
      <c r="KI1" s="11">
        <v>43990</v>
      </c>
      <c r="KJ1" s="11">
        <v>43991</v>
      </c>
      <c r="KK1" s="121"/>
      <c r="KL1" s="83" t="s">
        <v>44</v>
      </c>
      <c r="KM1" s="11">
        <v>43992</v>
      </c>
      <c r="KN1" s="11">
        <v>43993</v>
      </c>
      <c r="KO1" s="11">
        <v>43994</v>
      </c>
      <c r="KP1" s="11">
        <v>43997</v>
      </c>
      <c r="KQ1" s="11">
        <v>43998</v>
      </c>
      <c r="KR1" s="11">
        <v>43999</v>
      </c>
      <c r="KS1" s="11">
        <v>44000</v>
      </c>
      <c r="KT1" s="11">
        <v>44001</v>
      </c>
      <c r="KU1" s="11">
        <v>44004</v>
      </c>
      <c r="KV1" s="11">
        <v>44005</v>
      </c>
      <c r="KW1" s="11">
        <v>44006</v>
      </c>
      <c r="KX1" s="11">
        <v>44007</v>
      </c>
      <c r="KY1" s="11">
        <v>44011</v>
      </c>
      <c r="KZ1" s="11">
        <v>44012</v>
      </c>
      <c r="LA1" s="11">
        <v>44013</v>
      </c>
      <c r="LB1" s="11">
        <v>44014</v>
      </c>
      <c r="LC1" s="11">
        <v>44015</v>
      </c>
      <c r="LD1" s="11">
        <v>44018</v>
      </c>
      <c r="LE1" s="11">
        <v>44019</v>
      </c>
      <c r="LF1" s="11">
        <v>44020</v>
      </c>
      <c r="LG1" s="11">
        <v>44021</v>
      </c>
      <c r="LH1" s="11">
        <v>44022</v>
      </c>
      <c r="LI1" s="11">
        <v>44025</v>
      </c>
      <c r="LJ1" s="11">
        <v>44026</v>
      </c>
      <c r="LK1" s="11">
        <v>44027</v>
      </c>
      <c r="LL1" s="11">
        <v>44028</v>
      </c>
      <c r="LM1" s="11">
        <v>44029</v>
      </c>
      <c r="LN1" s="11">
        <v>44032</v>
      </c>
      <c r="LO1" s="11">
        <v>44033</v>
      </c>
      <c r="LP1" s="11">
        <v>44034</v>
      </c>
      <c r="LQ1" s="11">
        <v>44035</v>
      </c>
      <c r="LR1" s="11">
        <v>44036</v>
      </c>
      <c r="LS1" s="11">
        <v>44039</v>
      </c>
      <c r="LT1" s="11">
        <v>44040</v>
      </c>
      <c r="LU1" s="11">
        <v>44041</v>
      </c>
      <c r="LV1" s="11">
        <v>44047</v>
      </c>
      <c r="LW1" s="11">
        <v>44048</v>
      </c>
      <c r="LX1" s="11">
        <v>44050</v>
      </c>
      <c r="LY1" s="11">
        <v>44053</v>
      </c>
      <c r="LZ1" s="11">
        <v>44054</v>
      </c>
      <c r="MA1" s="11">
        <v>44055</v>
      </c>
      <c r="MB1" s="11">
        <v>44056</v>
      </c>
      <c r="MC1" s="11">
        <v>44057</v>
      </c>
      <c r="MD1" s="11">
        <v>44060</v>
      </c>
      <c r="ME1" s="11">
        <v>44061</v>
      </c>
      <c r="MF1" s="11">
        <v>44062</v>
      </c>
      <c r="MG1" s="11">
        <v>44063</v>
      </c>
      <c r="MH1" s="11">
        <v>44064</v>
      </c>
      <c r="MI1" s="11">
        <v>44067</v>
      </c>
      <c r="MJ1" s="11">
        <v>44068</v>
      </c>
      <c r="MK1" s="11">
        <v>44069</v>
      </c>
      <c r="ML1" s="11">
        <v>44071</v>
      </c>
      <c r="MM1" s="11">
        <v>44074</v>
      </c>
      <c r="MN1" s="11">
        <v>44076</v>
      </c>
      <c r="MO1" s="11">
        <v>44077</v>
      </c>
      <c r="MP1" s="11">
        <v>44078</v>
      </c>
      <c r="MQ1" s="11">
        <v>44081</v>
      </c>
      <c r="MR1" s="11">
        <v>44082</v>
      </c>
      <c r="MS1" s="11">
        <v>44084</v>
      </c>
      <c r="MT1" s="11">
        <v>44085</v>
      </c>
      <c r="MU1" s="11">
        <v>44088</v>
      </c>
      <c r="MV1" s="11">
        <v>44089</v>
      </c>
      <c r="MW1" s="11">
        <v>44090</v>
      </c>
      <c r="MX1" s="11">
        <v>44091</v>
      </c>
      <c r="MY1" s="11">
        <v>44092</v>
      </c>
      <c r="MZ1" s="11">
        <v>44095</v>
      </c>
      <c r="NA1" s="11">
        <v>44096</v>
      </c>
      <c r="NB1" s="11">
        <v>44097</v>
      </c>
      <c r="NC1" s="11">
        <v>44098</v>
      </c>
      <c r="ND1" s="11">
        <v>44099</v>
      </c>
      <c r="NE1" s="11">
        <v>44102</v>
      </c>
      <c r="NF1" s="11">
        <v>44103</v>
      </c>
      <c r="NG1" s="11">
        <v>44104</v>
      </c>
      <c r="NH1" s="11">
        <v>44106</v>
      </c>
      <c r="NI1" s="11">
        <v>44109</v>
      </c>
      <c r="NJ1" s="11">
        <v>44110</v>
      </c>
      <c r="NK1" s="11">
        <v>44111</v>
      </c>
      <c r="NL1" s="11">
        <v>44112</v>
      </c>
      <c r="NM1" s="11">
        <v>44113</v>
      </c>
      <c r="NN1" s="11">
        <v>44116</v>
      </c>
      <c r="NO1" s="11">
        <v>44117</v>
      </c>
      <c r="NP1" s="11">
        <v>44118</v>
      </c>
      <c r="NQ1" s="11">
        <v>44119</v>
      </c>
      <c r="NR1" s="11">
        <v>44120</v>
      </c>
      <c r="NS1" s="11">
        <v>44123</v>
      </c>
      <c r="NT1" s="11">
        <v>44124</v>
      </c>
      <c r="NU1" s="11">
        <v>44125</v>
      </c>
      <c r="NV1" s="11">
        <v>44126</v>
      </c>
      <c r="NW1" s="11">
        <v>44127</v>
      </c>
      <c r="NX1" s="11">
        <v>44130</v>
      </c>
      <c r="NY1" s="11">
        <v>44131</v>
      </c>
      <c r="NZ1" s="11">
        <v>44132</v>
      </c>
      <c r="OA1" s="11">
        <v>44133</v>
      </c>
      <c r="OB1" s="11">
        <v>44137</v>
      </c>
      <c r="OC1" s="11">
        <v>44138</v>
      </c>
      <c r="OD1" s="11">
        <v>44139</v>
      </c>
      <c r="OE1" s="11">
        <v>44140</v>
      </c>
      <c r="OF1" s="11">
        <v>44141</v>
      </c>
      <c r="OG1" s="11">
        <v>44144</v>
      </c>
      <c r="OH1" s="11">
        <v>44145</v>
      </c>
      <c r="OI1" s="11">
        <v>44146</v>
      </c>
      <c r="OJ1" s="11">
        <v>44147</v>
      </c>
      <c r="OK1" s="11">
        <v>44153</v>
      </c>
      <c r="OL1" s="11">
        <v>44154</v>
      </c>
      <c r="OM1" s="11">
        <v>44155</v>
      </c>
      <c r="ON1" s="11">
        <v>44158</v>
      </c>
      <c r="OO1" s="11">
        <v>44159</v>
      </c>
      <c r="OP1" s="11">
        <v>44160</v>
      </c>
      <c r="OQ1" s="11">
        <v>44161</v>
      </c>
      <c r="OR1" s="11">
        <v>44162</v>
      </c>
      <c r="OS1" s="11">
        <v>44165</v>
      </c>
      <c r="OT1" s="11">
        <v>44166</v>
      </c>
      <c r="OU1" s="11">
        <v>44167</v>
      </c>
      <c r="OV1" s="11">
        <v>44168</v>
      </c>
      <c r="OW1" s="11">
        <v>44169</v>
      </c>
      <c r="OX1" s="11">
        <v>44172</v>
      </c>
      <c r="OY1" s="11">
        <v>44173</v>
      </c>
      <c r="OZ1" s="11">
        <v>44174</v>
      </c>
      <c r="PA1" s="11">
        <v>44175</v>
      </c>
      <c r="PB1" s="11">
        <v>44176</v>
      </c>
      <c r="PC1" s="11">
        <v>44179</v>
      </c>
      <c r="PD1" s="11">
        <v>44180</v>
      </c>
      <c r="PE1" s="11">
        <v>44181</v>
      </c>
      <c r="PF1" s="11">
        <v>44182</v>
      </c>
      <c r="PG1" s="11">
        <v>44183</v>
      </c>
      <c r="PH1" s="11">
        <v>44186</v>
      </c>
      <c r="PI1" s="11">
        <v>44187</v>
      </c>
      <c r="PJ1" s="11">
        <v>44188</v>
      </c>
      <c r="PK1" s="11">
        <v>44189</v>
      </c>
      <c r="PL1" s="11">
        <v>44195</v>
      </c>
      <c r="PM1" s="11">
        <v>44196</v>
      </c>
      <c r="PN1" s="11">
        <v>44197</v>
      </c>
      <c r="PO1" s="11">
        <v>44200</v>
      </c>
      <c r="PP1" s="11">
        <v>44201</v>
      </c>
      <c r="PQ1" s="11">
        <v>44202</v>
      </c>
      <c r="PR1" s="11">
        <v>44203</v>
      </c>
      <c r="PS1" s="11">
        <v>44204</v>
      </c>
      <c r="PT1" s="11">
        <v>44207</v>
      </c>
      <c r="PU1" s="11">
        <v>44208</v>
      </c>
      <c r="PV1" s="11">
        <v>44209</v>
      </c>
      <c r="PW1" s="11">
        <v>44211</v>
      </c>
      <c r="PX1" s="11">
        <v>44214</v>
      </c>
      <c r="PY1" s="11">
        <v>44215</v>
      </c>
      <c r="PZ1" s="11">
        <v>44216</v>
      </c>
      <c r="QA1" s="11">
        <v>44217</v>
      </c>
      <c r="QB1" s="11">
        <v>44218</v>
      </c>
      <c r="QC1" s="11">
        <v>44221</v>
      </c>
      <c r="QD1" s="11">
        <v>44222</v>
      </c>
      <c r="QE1" s="11">
        <v>44223</v>
      </c>
      <c r="QF1" s="11">
        <v>44225</v>
      </c>
      <c r="QG1" s="11">
        <v>44228</v>
      </c>
      <c r="QH1" s="11">
        <v>44229</v>
      </c>
      <c r="QI1" s="11">
        <v>44230</v>
      </c>
      <c r="QJ1" s="11">
        <v>44232</v>
      </c>
      <c r="QK1" s="11">
        <v>44235</v>
      </c>
      <c r="QL1" s="11">
        <v>44236</v>
      </c>
      <c r="QM1" s="11">
        <v>44237</v>
      </c>
      <c r="QN1" s="11">
        <v>44238</v>
      </c>
      <c r="QO1" s="11">
        <v>44239</v>
      </c>
      <c r="QP1" s="11">
        <v>44242</v>
      </c>
      <c r="QQ1" s="11">
        <v>44243</v>
      </c>
      <c r="QR1" s="11">
        <v>44244</v>
      </c>
      <c r="QS1" s="11">
        <v>44245</v>
      </c>
      <c r="QT1" s="11">
        <v>44246</v>
      </c>
      <c r="QU1" s="11">
        <v>44249</v>
      </c>
      <c r="QV1" s="11">
        <v>44250</v>
      </c>
      <c r="QW1" s="11">
        <v>44251</v>
      </c>
      <c r="QX1" s="11">
        <v>44252</v>
      </c>
      <c r="QY1" s="11">
        <v>44256</v>
      </c>
      <c r="QZ1" s="11">
        <v>44257</v>
      </c>
      <c r="RA1" s="11">
        <v>44258</v>
      </c>
      <c r="RB1" s="11">
        <v>44259</v>
      </c>
      <c r="RC1" s="11">
        <v>44260</v>
      </c>
      <c r="RD1" s="11">
        <v>44263</v>
      </c>
      <c r="RE1" s="11">
        <v>44264</v>
      </c>
      <c r="RF1" s="11">
        <v>44265</v>
      </c>
      <c r="RG1" s="11">
        <v>44266</v>
      </c>
      <c r="RH1" s="11">
        <v>44267</v>
      </c>
      <c r="RI1" s="11">
        <v>44270</v>
      </c>
      <c r="RJ1" s="11">
        <v>44271</v>
      </c>
      <c r="RK1" s="11">
        <v>44272</v>
      </c>
      <c r="RL1" s="11">
        <v>44273</v>
      </c>
      <c r="RM1" s="11">
        <v>44274</v>
      </c>
      <c r="RN1" s="11">
        <v>44277</v>
      </c>
      <c r="RO1" s="11">
        <v>44278</v>
      </c>
      <c r="RP1" s="11">
        <v>44279</v>
      </c>
      <c r="RQ1" s="11">
        <v>44280</v>
      </c>
      <c r="RR1" s="11">
        <v>44281</v>
      </c>
      <c r="RS1" s="11">
        <v>44284</v>
      </c>
      <c r="RT1" s="11">
        <v>44285</v>
      </c>
      <c r="RU1" s="11">
        <v>44286</v>
      </c>
      <c r="RV1" s="11">
        <v>44287</v>
      </c>
      <c r="RW1" s="11">
        <v>44288</v>
      </c>
      <c r="RX1" s="11">
        <v>44291</v>
      </c>
      <c r="RY1" s="11">
        <v>44292</v>
      </c>
      <c r="RZ1" s="11">
        <v>44293</v>
      </c>
      <c r="SA1" s="11">
        <v>44294</v>
      </c>
      <c r="SB1" s="11">
        <v>44295</v>
      </c>
      <c r="SC1" s="11">
        <v>44301</v>
      </c>
      <c r="SD1" s="11">
        <v>44302</v>
      </c>
      <c r="SE1" s="11">
        <v>44305</v>
      </c>
      <c r="SF1" s="11">
        <v>44306</v>
      </c>
      <c r="SG1" s="11">
        <v>44307</v>
      </c>
      <c r="SH1" s="11">
        <v>44308</v>
      </c>
      <c r="SI1" s="11">
        <v>44309</v>
      </c>
      <c r="SJ1" s="11">
        <v>44313</v>
      </c>
      <c r="SK1" s="11">
        <v>44314</v>
      </c>
      <c r="SL1" s="11">
        <v>44315</v>
      </c>
      <c r="SM1" s="11">
        <v>44316</v>
      </c>
      <c r="SN1" s="11">
        <v>44319</v>
      </c>
      <c r="SO1" s="11">
        <v>44320</v>
      </c>
      <c r="SP1" s="11">
        <v>44321</v>
      </c>
      <c r="SQ1" s="11">
        <v>44322</v>
      </c>
      <c r="SR1" s="11">
        <v>44323</v>
      </c>
      <c r="SS1" s="11">
        <v>44326</v>
      </c>
      <c r="ST1" s="11">
        <v>44327</v>
      </c>
      <c r="SU1" s="11">
        <v>44328</v>
      </c>
      <c r="SV1" s="11">
        <v>44329</v>
      </c>
      <c r="SW1" s="11">
        <v>44330</v>
      </c>
      <c r="SX1" s="11">
        <v>44333</v>
      </c>
      <c r="SY1" s="11">
        <v>44334</v>
      </c>
      <c r="SZ1" s="11">
        <v>44335</v>
      </c>
      <c r="TA1" s="11">
        <v>44336</v>
      </c>
      <c r="TB1" s="11">
        <v>44337</v>
      </c>
      <c r="TC1" s="11">
        <v>44340</v>
      </c>
      <c r="TD1" s="11">
        <v>44341</v>
      </c>
      <c r="TE1" s="11">
        <v>44344</v>
      </c>
      <c r="TF1" s="11">
        <v>44347</v>
      </c>
      <c r="TG1" s="11">
        <v>44348</v>
      </c>
      <c r="TH1" s="11">
        <v>44349</v>
      </c>
      <c r="TI1" s="11">
        <v>44350</v>
      </c>
      <c r="TJ1" s="11">
        <v>44351</v>
      </c>
      <c r="TK1" s="11">
        <v>44352</v>
      </c>
      <c r="TL1" s="11">
        <v>44354</v>
      </c>
      <c r="TM1" s="11">
        <v>44355</v>
      </c>
      <c r="TN1" s="11">
        <v>44356</v>
      </c>
      <c r="TO1" s="11">
        <v>44357</v>
      </c>
      <c r="TP1" s="11">
        <v>44358</v>
      </c>
      <c r="TQ1" s="11">
        <v>44361</v>
      </c>
      <c r="TR1" s="11">
        <v>44362</v>
      </c>
      <c r="TS1" s="11">
        <v>44363</v>
      </c>
      <c r="TT1" s="11">
        <v>44364</v>
      </c>
      <c r="TU1" s="11">
        <v>44365</v>
      </c>
      <c r="TV1" s="11">
        <v>44368</v>
      </c>
      <c r="TW1" s="11">
        <v>44369</v>
      </c>
      <c r="TX1" s="11">
        <v>44370</v>
      </c>
      <c r="TY1" s="11">
        <v>44372</v>
      </c>
      <c r="TZ1" s="11">
        <v>44375</v>
      </c>
      <c r="UA1" s="11">
        <v>44376</v>
      </c>
      <c r="UB1" s="11">
        <v>44377</v>
      </c>
      <c r="UC1" s="11">
        <v>44378</v>
      </c>
      <c r="UD1" s="11">
        <v>44379</v>
      </c>
      <c r="UE1" s="11">
        <v>44382</v>
      </c>
      <c r="UF1" s="11">
        <v>44383</v>
      </c>
      <c r="UG1" s="11">
        <v>44384</v>
      </c>
      <c r="UH1" s="11">
        <v>44385</v>
      </c>
      <c r="UI1" s="11">
        <v>44386</v>
      </c>
      <c r="UJ1" s="11">
        <v>44389</v>
      </c>
      <c r="UK1" s="11">
        <v>44390</v>
      </c>
      <c r="UL1" s="11">
        <v>44391</v>
      </c>
      <c r="UM1" s="11">
        <v>44392</v>
      </c>
      <c r="UN1" s="11">
        <v>44393</v>
      </c>
      <c r="UO1" s="11">
        <v>44396</v>
      </c>
      <c r="UP1" s="11">
        <v>44397</v>
      </c>
      <c r="UQ1" s="11">
        <v>44398</v>
      </c>
      <c r="UR1" s="11">
        <v>44399</v>
      </c>
      <c r="US1" s="11">
        <v>44403</v>
      </c>
      <c r="UT1" s="11">
        <v>44404</v>
      </c>
      <c r="UU1" s="11">
        <v>44405</v>
      </c>
      <c r="UV1" s="11">
        <v>44406</v>
      </c>
      <c r="UW1" s="11">
        <v>44407</v>
      </c>
      <c r="UX1" s="11">
        <v>44410</v>
      </c>
      <c r="UY1" s="11">
        <v>44411</v>
      </c>
      <c r="UZ1" s="11">
        <v>44412</v>
      </c>
      <c r="VA1" s="11">
        <v>44413</v>
      </c>
      <c r="VB1" s="11">
        <v>44414</v>
      </c>
      <c r="VC1" s="11">
        <v>44417</v>
      </c>
      <c r="VD1" s="11">
        <v>44418</v>
      </c>
      <c r="VE1" s="11">
        <v>44420</v>
      </c>
      <c r="VF1" s="11">
        <v>44421</v>
      </c>
      <c r="VG1" s="11">
        <v>44424</v>
      </c>
      <c r="VH1" s="11">
        <v>44425</v>
      </c>
      <c r="VI1" s="11">
        <v>44426</v>
      </c>
      <c r="VJ1" s="11">
        <v>44427</v>
      </c>
      <c r="VK1" s="11">
        <v>44428</v>
      </c>
      <c r="VL1" s="11">
        <v>44431</v>
      </c>
      <c r="VM1" s="11">
        <v>44432</v>
      </c>
      <c r="VN1" s="11">
        <v>44433</v>
      </c>
      <c r="VO1" s="11">
        <v>44434</v>
      </c>
      <c r="VP1" s="11">
        <v>44435</v>
      </c>
      <c r="VQ1" s="11">
        <v>44438</v>
      </c>
      <c r="VR1" s="11">
        <v>44439</v>
      </c>
      <c r="VS1" s="11">
        <v>44440</v>
      </c>
      <c r="VT1" s="11">
        <v>44441</v>
      </c>
      <c r="VU1" s="11">
        <v>44445</v>
      </c>
      <c r="VV1" s="11">
        <v>44446</v>
      </c>
      <c r="VW1" s="11">
        <v>44447</v>
      </c>
      <c r="VX1" s="11">
        <v>44448</v>
      </c>
      <c r="VY1" s="11">
        <v>44449</v>
      </c>
      <c r="VZ1" s="11">
        <v>44452</v>
      </c>
      <c r="WA1" s="11">
        <v>44453</v>
      </c>
      <c r="WB1" s="11">
        <v>44454</v>
      </c>
      <c r="WC1" s="11">
        <v>44455</v>
      </c>
      <c r="WD1" s="11">
        <v>44456</v>
      </c>
      <c r="WE1" s="11">
        <v>44460</v>
      </c>
      <c r="WF1" s="11">
        <v>44461</v>
      </c>
      <c r="WG1" s="11">
        <v>44462</v>
      </c>
      <c r="WH1" s="11">
        <v>44463</v>
      </c>
      <c r="WI1" s="11">
        <v>44466</v>
      </c>
      <c r="WJ1" s="11">
        <v>44467</v>
      </c>
      <c r="WK1" s="11">
        <v>44468</v>
      </c>
      <c r="WL1" s="11">
        <v>44469</v>
      </c>
      <c r="WM1" s="11">
        <v>44470</v>
      </c>
      <c r="WN1" s="11">
        <v>44473</v>
      </c>
      <c r="WO1" s="11">
        <v>44474</v>
      </c>
      <c r="WP1" s="11">
        <v>44475</v>
      </c>
      <c r="WQ1" s="11">
        <v>44476</v>
      </c>
      <c r="WR1" s="11">
        <v>44477</v>
      </c>
      <c r="WS1" s="11">
        <v>44480</v>
      </c>
      <c r="WT1" s="11">
        <v>44481</v>
      </c>
      <c r="WU1" s="11">
        <v>44482</v>
      </c>
      <c r="WV1" s="11">
        <v>44483</v>
      </c>
      <c r="WW1" s="11">
        <v>44484</v>
      </c>
      <c r="WX1" s="11">
        <v>44487</v>
      </c>
      <c r="WY1" s="11">
        <v>44490</v>
      </c>
      <c r="WZ1" s="11">
        <v>44491</v>
      </c>
      <c r="XA1" s="11">
        <v>44494</v>
      </c>
      <c r="XB1" s="11">
        <v>44495</v>
      </c>
      <c r="XC1" s="11">
        <v>44496</v>
      </c>
      <c r="XD1" s="11">
        <v>44497</v>
      </c>
      <c r="XE1" s="11">
        <v>44498</v>
      </c>
      <c r="XF1" s="11">
        <v>44501</v>
      </c>
      <c r="XG1" s="11">
        <v>44502</v>
      </c>
      <c r="XH1" s="11">
        <v>44503</v>
      </c>
      <c r="XI1" s="11">
        <v>44504</v>
      </c>
      <c r="XJ1" s="11">
        <v>44505</v>
      </c>
      <c r="XK1" s="11">
        <v>44508</v>
      </c>
      <c r="XL1" s="11">
        <v>44509</v>
      </c>
      <c r="XM1" s="11">
        <v>44510</v>
      </c>
      <c r="XN1" s="11">
        <v>44511</v>
      </c>
      <c r="XO1" s="11">
        <v>44512</v>
      </c>
      <c r="XP1" s="11">
        <v>44515</v>
      </c>
      <c r="XQ1" s="11">
        <v>44516</v>
      </c>
      <c r="XR1" s="11">
        <v>44517</v>
      </c>
      <c r="XS1" s="11">
        <v>44519</v>
      </c>
      <c r="XT1" s="11">
        <v>44522</v>
      </c>
      <c r="XU1" s="11">
        <v>44523</v>
      </c>
      <c r="XV1" s="11">
        <v>44524</v>
      </c>
      <c r="XW1" s="11">
        <v>44525</v>
      </c>
      <c r="XX1" s="11">
        <v>44526</v>
      </c>
      <c r="XY1" s="11">
        <v>44529</v>
      </c>
      <c r="XZ1" s="11">
        <v>44530</v>
      </c>
      <c r="YA1" s="11">
        <v>44531</v>
      </c>
      <c r="YB1" s="11">
        <v>44532</v>
      </c>
      <c r="YC1" s="11">
        <v>44533</v>
      </c>
      <c r="YD1" s="11">
        <v>44536</v>
      </c>
      <c r="YE1" s="11">
        <v>44537</v>
      </c>
      <c r="YF1" s="11">
        <v>44538</v>
      </c>
      <c r="YG1" s="11">
        <v>44539</v>
      </c>
      <c r="YH1" s="11">
        <v>44540</v>
      </c>
      <c r="YI1" s="11">
        <v>44543</v>
      </c>
      <c r="YJ1" s="11">
        <v>44544</v>
      </c>
      <c r="YK1" s="11">
        <v>44545</v>
      </c>
      <c r="YL1" s="11">
        <v>44546</v>
      </c>
      <c r="YM1" s="11">
        <v>44547</v>
      </c>
      <c r="YN1" s="11">
        <v>44550</v>
      </c>
      <c r="YO1" s="11">
        <v>44552</v>
      </c>
      <c r="YP1" s="11">
        <v>44553</v>
      </c>
      <c r="YQ1" s="11">
        <v>44554</v>
      </c>
      <c r="YR1" s="11">
        <v>44558</v>
      </c>
      <c r="YS1" s="11">
        <v>44559</v>
      </c>
      <c r="YT1" s="11">
        <v>44560</v>
      </c>
      <c r="YU1" s="11">
        <v>44561</v>
      </c>
      <c r="YV1" s="11">
        <v>44564</v>
      </c>
      <c r="YW1" s="11">
        <v>44565</v>
      </c>
      <c r="YX1" s="11">
        <v>44566</v>
      </c>
      <c r="YY1" s="11">
        <v>44567</v>
      </c>
      <c r="YZ1" s="11">
        <v>44568</v>
      </c>
      <c r="ZA1" s="11">
        <v>44571</v>
      </c>
      <c r="ZB1" s="11">
        <v>44572</v>
      </c>
      <c r="ZC1" s="11">
        <v>44573</v>
      </c>
      <c r="ZD1" s="11">
        <v>44574</v>
      </c>
      <c r="ZE1" s="11">
        <v>44578</v>
      </c>
      <c r="ZF1" s="11">
        <v>44579</v>
      </c>
      <c r="ZG1" s="11">
        <v>44580</v>
      </c>
      <c r="ZH1" s="11">
        <v>44581</v>
      </c>
      <c r="ZI1" s="11">
        <v>44582</v>
      </c>
      <c r="ZJ1" s="11">
        <v>44585</v>
      </c>
      <c r="ZK1" s="11">
        <v>44586</v>
      </c>
      <c r="ZL1" s="11">
        <v>44587</v>
      </c>
      <c r="ZM1" s="11">
        <v>44588</v>
      </c>
      <c r="ZN1" s="11">
        <v>44589</v>
      </c>
      <c r="ZO1" s="11">
        <v>44592</v>
      </c>
      <c r="ZP1" s="11">
        <v>44593</v>
      </c>
      <c r="ZQ1" s="11">
        <v>44594</v>
      </c>
      <c r="ZR1" s="11">
        <v>44595</v>
      </c>
      <c r="ZS1" s="11">
        <v>44599</v>
      </c>
      <c r="ZT1" s="11">
        <v>44600</v>
      </c>
      <c r="ZU1" s="11">
        <v>44601</v>
      </c>
      <c r="ZV1" s="11">
        <v>44602</v>
      </c>
      <c r="ZW1" s="11">
        <v>44603</v>
      </c>
      <c r="ZX1" s="11">
        <v>44607</v>
      </c>
      <c r="ZY1" s="11">
        <v>44609</v>
      </c>
      <c r="ZZ1" s="11">
        <v>44610</v>
      </c>
      <c r="AAA1" s="11">
        <v>44613</v>
      </c>
      <c r="AAB1" s="11">
        <v>44614</v>
      </c>
      <c r="AAC1" s="11">
        <v>44615</v>
      </c>
      <c r="AAD1" s="11">
        <v>44616</v>
      </c>
      <c r="AAE1" s="11">
        <v>44617</v>
      </c>
      <c r="AAF1" s="11">
        <v>44620</v>
      </c>
      <c r="AAG1" s="11">
        <v>44621</v>
      </c>
      <c r="AAH1" s="11">
        <v>44622</v>
      </c>
      <c r="AAI1" s="11">
        <v>44623</v>
      </c>
      <c r="AAJ1" s="11">
        <v>44624</v>
      </c>
      <c r="AAK1" s="11">
        <v>44627</v>
      </c>
      <c r="AAL1" s="11">
        <v>44628</v>
      </c>
      <c r="AAM1" s="11">
        <v>44629</v>
      </c>
      <c r="AAN1" s="11">
        <v>44630</v>
      </c>
      <c r="AAO1" s="11">
        <v>44631</v>
      </c>
      <c r="AAP1" s="11">
        <v>44634</v>
      </c>
      <c r="AAQ1" s="11">
        <v>44635</v>
      </c>
      <c r="AAR1" s="11">
        <v>44636</v>
      </c>
      <c r="AAS1" s="11">
        <v>44638</v>
      </c>
      <c r="AAT1" s="11">
        <v>44641</v>
      </c>
      <c r="AAU1" s="11">
        <v>44642</v>
      </c>
      <c r="AAV1" s="11">
        <v>44643</v>
      </c>
      <c r="AAW1" s="11">
        <v>44644</v>
      </c>
      <c r="AAX1" s="11">
        <v>44645</v>
      </c>
      <c r="AAY1" s="11">
        <v>44648</v>
      </c>
      <c r="AAZ1" s="11">
        <v>44649</v>
      </c>
      <c r="ABA1" s="11">
        <v>44650</v>
      </c>
      <c r="ABB1" s="11">
        <v>44651</v>
      </c>
      <c r="ABC1" s="11">
        <v>44652</v>
      </c>
      <c r="ABD1" s="11">
        <v>44655</v>
      </c>
      <c r="ABF1" s="83" t="s">
        <v>44</v>
      </c>
      <c r="ABG1" s="47" t="s">
        <v>104</v>
      </c>
      <c r="ABH1" s="46" t="s">
        <v>78</v>
      </c>
      <c r="ABI1" s="46" t="s">
        <v>105</v>
      </c>
      <c r="ABJ1" s="46" t="s">
        <v>106</v>
      </c>
      <c r="ABK1" s="46" t="s">
        <v>107</v>
      </c>
      <c r="ABL1" s="46" t="s">
        <v>44</v>
      </c>
      <c r="ABM1" s="46" t="s">
        <v>62</v>
      </c>
      <c r="ABN1" s="46" t="s">
        <v>45</v>
      </c>
      <c r="ABO1" s="83" t="s">
        <v>108</v>
      </c>
      <c r="ABR1" s="4" t="s">
        <v>109</v>
      </c>
      <c r="ABS1" s="49"/>
      <c r="ABT1" s="133" t="s">
        <v>110</v>
      </c>
      <c r="ABU1" s="49"/>
      <c r="ABV1" s="49"/>
    </row>
    <row r="2" spans="1:769" x14ac:dyDescent="0.25">
      <c r="A2" s="6" t="s">
        <v>46</v>
      </c>
      <c r="B2" s="8" t="s">
        <v>47</v>
      </c>
      <c r="C2" s="7">
        <v>9000</v>
      </c>
      <c r="D2" s="7">
        <v>6902</v>
      </c>
      <c r="E2" s="7">
        <v>6927</v>
      </c>
      <c r="F2" s="7">
        <v>7224</v>
      </c>
      <c r="G2" s="7">
        <v>7310</v>
      </c>
      <c r="H2" s="7">
        <v>7310</v>
      </c>
      <c r="I2" s="7">
        <v>7547</v>
      </c>
      <c r="J2" s="7">
        <v>7659</v>
      </c>
      <c r="K2" s="7">
        <v>7894</v>
      </c>
      <c r="L2" s="7">
        <v>8000</v>
      </c>
      <c r="M2" s="7">
        <v>7999</v>
      </c>
      <c r="N2" s="7">
        <v>8140</v>
      </c>
      <c r="O2" s="7">
        <v>7932</v>
      </c>
      <c r="P2" s="7">
        <v>7697</v>
      </c>
      <c r="Q2" s="7">
        <f>8887-1000</f>
        <v>7887</v>
      </c>
      <c r="R2" s="7">
        <v>8236</v>
      </c>
      <c r="S2" s="7">
        <v>8096</v>
      </c>
      <c r="T2" s="7">
        <v>8186</v>
      </c>
      <c r="U2" s="7">
        <v>8254</v>
      </c>
      <c r="V2" s="7">
        <v>8140</v>
      </c>
      <c r="W2" s="7"/>
      <c r="X2" s="7"/>
      <c r="Y2" s="7">
        <v>7499</v>
      </c>
      <c r="Z2" s="7">
        <v>7327</v>
      </c>
      <c r="AA2" s="7">
        <v>7604</v>
      </c>
      <c r="AB2" s="7">
        <v>7603</v>
      </c>
      <c r="AC2" s="7">
        <v>7457</v>
      </c>
      <c r="AD2" s="7"/>
      <c r="AE2" s="10">
        <v>7619.58</v>
      </c>
      <c r="AF2" s="10">
        <v>7725</v>
      </c>
      <c r="AG2" s="10">
        <v>6469</v>
      </c>
      <c r="AH2" s="10">
        <v>6645</v>
      </c>
      <c r="AI2" s="10">
        <v>6615</v>
      </c>
      <c r="AJ2" s="10">
        <v>6602</v>
      </c>
      <c r="AK2" s="10">
        <v>6653</v>
      </c>
      <c r="AL2" s="10">
        <v>5370</v>
      </c>
      <c r="AM2" s="10">
        <v>5392.46</v>
      </c>
      <c r="AN2" s="10">
        <v>5477</v>
      </c>
      <c r="AO2" s="10">
        <v>5476</v>
      </c>
      <c r="AP2" s="10">
        <v>5483</v>
      </c>
      <c r="AQ2" s="10">
        <v>5651</v>
      </c>
      <c r="AR2" s="10">
        <v>5733</v>
      </c>
      <c r="AS2" s="10">
        <v>5824</v>
      </c>
      <c r="AT2" s="10">
        <v>5877</v>
      </c>
      <c r="AU2" s="10">
        <v>6051</v>
      </c>
      <c r="AV2" s="10">
        <v>6419</v>
      </c>
      <c r="AW2" s="10">
        <v>6419</v>
      </c>
      <c r="AX2" s="10">
        <v>6881</v>
      </c>
      <c r="AY2" s="10">
        <v>7061</v>
      </c>
      <c r="AZ2" s="10">
        <v>6897</v>
      </c>
      <c r="BA2" s="10">
        <v>6854</v>
      </c>
      <c r="BB2" s="10">
        <v>6714</v>
      </c>
      <c r="BC2" s="10">
        <v>6764</v>
      </c>
      <c r="BD2" s="10">
        <v>6765</v>
      </c>
      <c r="BE2" s="10">
        <v>6836</v>
      </c>
      <c r="BF2" s="10">
        <v>6839</v>
      </c>
      <c r="BG2" s="10">
        <v>6853</v>
      </c>
      <c r="BH2" s="10">
        <v>7034</v>
      </c>
      <c r="BI2" s="10">
        <v>7093</v>
      </c>
      <c r="BJ2" s="10">
        <v>7117</v>
      </c>
      <c r="BK2" s="10">
        <v>7195</v>
      </c>
      <c r="BL2" s="10">
        <v>7093</v>
      </c>
      <c r="BM2" s="10">
        <v>7059</v>
      </c>
      <c r="BN2" s="10">
        <v>7047</v>
      </c>
      <c r="BO2" s="10">
        <v>7064</v>
      </c>
      <c r="BP2" s="10">
        <v>7064</v>
      </c>
      <c r="BQ2" s="10">
        <v>7064</v>
      </c>
      <c r="BR2" s="10">
        <v>7033</v>
      </c>
      <c r="BS2" s="10">
        <v>7227</v>
      </c>
      <c r="BT2" s="10">
        <v>7243</v>
      </c>
      <c r="BU2" s="10">
        <v>7277</v>
      </c>
      <c r="BV2" s="10">
        <v>7269</v>
      </c>
      <c r="BW2" s="10">
        <v>6897</v>
      </c>
      <c r="BX2" s="10">
        <v>6534</v>
      </c>
      <c r="BY2" s="10">
        <v>6116</v>
      </c>
      <c r="BZ2" s="10">
        <v>5707</v>
      </c>
      <c r="CA2" s="10">
        <v>5707</v>
      </c>
      <c r="CB2" s="10">
        <v>5658</v>
      </c>
      <c r="CC2" s="10">
        <v>5334</v>
      </c>
      <c r="CD2" s="10">
        <v>5364</v>
      </c>
      <c r="CE2" s="10">
        <v>5167</v>
      </c>
      <c r="CF2" s="10">
        <v>5167</v>
      </c>
      <c r="CG2" s="10">
        <v>5321</v>
      </c>
      <c r="CH2" s="10">
        <v>4593</v>
      </c>
      <c r="CI2" s="10">
        <v>4593</v>
      </c>
      <c r="CJ2" s="10">
        <v>4489</v>
      </c>
      <c r="CK2" s="10">
        <v>4633</v>
      </c>
      <c r="CL2" s="10">
        <v>4838</v>
      </c>
      <c r="CM2" s="10">
        <v>4925</v>
      </c>
      <c r="CN2" s="10">
        <v>4879</v>
      </c>
      <c r="CO2" s="10">
        <v>4665</v>
      </c>
      <c r="CP2" s="10">
        <v>4760</v>
      </c>
      <c r="CQ2" s="10">
        <v>4783</v>
      </c>
      <c r="CR2" s="10">
        <v>4704</v>
      </c>
      <c r="CS2" s="10">
        <v>4681</v>
      </c>
      <c r="CT2" s="10">
        <v>4891</v>
      </c>
      <c r="CU2" s="10">
        <v>4890</v>
      </c>
      <c r="CV2" s="10">
        <v>4718</v>
      </c>
      <c r="CW2" s="10">
        <v>5413</v>
      </c>
      <c r="CX2" s="10">
        <v>5371</v>
      </c>
      <c r="CY2" s="10">
        <v>5264</v>
      </c>
      <c r="CZ2" s="10">
        <v>5074</v>
      </c>
      <c r="DA2" s="10">
        <v>5275</v>
      </c>
      <c r="DB2" s="10">
        <v>5241</v>
      </c>
      <c r="DC2" s="10">
        <v>5185</v>
      </c>
      <c r="DD2" s="10">
        <v>4996</v>
      </c>
      <c r="DE2" s="10">
        <v>4866</v>
      </c>
      <c r="DF2" s="10">
        <v>4749</v>
      </c>
      <c r="DG2" s="10">
        <v>4873</v>
      </c>
      <c r="DH2" s="10">
        <v>4934</v>
      </c>
      <c r="DI2" s="10">
        <v>4714</v>
      </c>
      <c r="DJ2" s="10">
        <v>5389</v>
      </c>
      <c r="DK2" s="10">
        <v>5410</v>
      </c>
      <c r="DL2" s="10">
        <v>5541</v>
      </c>
      <c r="DM2" s="10">
        <v>5872</v>
      </c>
      <c r="DN2" s="10">
        <v>5882</v>
      </c>
      <c r="DO2" s="10">
        <v>5883</v>
      </c>
      <c r="DP2" s="10">
        <v>5727</v>
      </c>
      <c r="DQ2" s="10">
        <v>5654</v>
      </c>
      <c r="DR2" s="10">
        <v>5826</v>
      </c>
      <c r="DS2" s="10">
        <v>5911</v>
      </c>
      <c r="DT2" s="10">
        <v>4807</v>
      </c>
      <c r="DU2" s="10">
        <v>4586</v>
      </c>
      <c r="DV2" s="10">
        <v>4779</v>
      </c>
      <c r="DW2" s="10">
        <v>5401</v>
      </c>
      <c r="DX2" s="10">
        <v>4531</v>
      </c>
      <c r="DY2" s="10">
        <v>4401</v>
      </c>
      <c r="DZ2" s="10">
        <v>4976</v>
      </c>
      <c r="EA2" s="10">
        <v>5275</v>
      </c>
      <c r="EB2" s="10">
        <v>5256</v>
      </c>
      <c r="EC2" s="10">
        <v>5282</v>
      </c>
      <c r="ED2" s="10">
        <v>5269</v>
      </c>
      <c r="EE2" s="10">
        <v>5350</v>
      </c>
      <c r="EF2" s="10">
        <v>5950</v>
      </c>
      <c r="EG2" s="10">
        <v>5820</v>
      </c>
      <c r="EH2" s="10">
        <v>5748</v>
      </c>
      <c r="EI2" s="10">
        <v>6044</v>
      </c>
      <c r="EJ2" s="10">
        <v>7246</v>
      </c>
      <c r="EK2" s="10">
        <v>7175</v>
      </c>
      <c r="EL2" s="10">
        <v>7369</v>
      </c>
      <c r="EM2" s="10">
        <v>7370</v>
      </c>
      <c r="EN2" s="10">
        <v>7113</v>
      </c>
      <c r="EO2" s="10">
        <v>7203</v>
      </c>
      <c r="EP2" s="10">
        <v>6946</v>
      </c>
      <c r="EQ2" s="10">
        <v>7357</v>
      </c>
      <c r="ER2" s="10">
        <v>7127</v>
      </c>
      <c r="ES2" s="10">
        <v>7547</v>
      </c>
      <c r="ET2" s="10">
        <v>7941</v>
      </c>
      <c r="EU2" s="10">
        <v>8486</v>
      </c>
      <c r="EV2" s="10">
        <v>8467</v>
      </c>
      <c r="EW2" s="10">
        <v>8950</v>
      </c>
      <c r="EX2" s="10">
        <v>8950</v>
      </c>
      <c r="EY2" s="10">
        <v>8277</v>
      </c>
      <c r="EZ2" s="10">
        <v>7467</v>
      </c>
      <c r="FA2" s="10">
        <v>7565</v>
      </c>
      <c r="FB2" s="10">
        <v>8031</v>
      </c>
      <c r="FC2" s="10"/>
      <c r="FD2" s="10">
        <v>8753</v>
      </c>
      <c r="FE2" s="10">
        <v>8434</v>
      </c>
      <c r="FF2" s="10">
        <v>8581</v>
      </c>
      <c r="FG2" s="10">
        <v>8872</v>
      </c>
      <c r="FH2" s="10"/>
      <c r="FI2" s="10">
        <v>8573</v>
      </c>
      <c r="FJ2" s="10">
        <v>8325</v>
      </c>
      <c r="FK2" s="10">
        <v>8453</v>
      </c>
      <c r="FL2" s="10">
        <v>8369</v>
      </c>
      <c r="FM2" s="10">
        <v>8524</v>
      </c>
      <c r="FN2" s="10">
        <v>8585</v>
      </c>
      <c r="FO2" s="10">
        <v>8688</v>
      </c>
      <c r="FP2" s="10">
        <v>8737</v>
      </c>
      <c r="FQ2" s="10">
        <v>8722</v>
      </c>
      <c r="FR2" s="10">
        <v>8505</v>
      </c>
      <c r="FS2" s="10">
        <v>8562</v>
      </c>
      <c r="FT2" s="10"/>
      <c r="FU2" s="10">
        <v>8442</v>
      </c>
      <c r="FV2" s="10">
        <v>8501</v>
      </c>
      <c r="FW2" s="10">
        <v>8384</v>
      </c>
      <c r="FX2" s="10">
        <v>8296</v>
      </c>
      <c r="FY2" s="10"/>
      <c r="FZ2" s="10">
        <v>7445</v>
      </c>
      <c r="GA2" s="10">
        <v>7515</v>
      </c>
      <c r="GB2" s="10">
        <v>7756</v>
      </c>
      <c r="GC2" s="10">
        <v>7299</v>
      </c>
      <c r="GD2" s="10">
        <v>7327</v>
      </c>
      <c r="GE2" s="10">
        <v>7345</v>
      </c>
      <c r="GF2" s="10">
        <v>7415</v>
      </c>
      <c r="GG2" s="10">
        <v>6915</v>
      </c>
      <c r="GH2" s="10">
        <v>7132</v>
      </c>
      <c r="GI2" s="10">
        <v>7246</v>
      </c>
      <c r="GJ2" s="10">
        <v>7205</v>
      </c>
      <c r="GK2" s="10">
        <v>7180</v>
      </c>
      <c r="GL2" s="10">
        <v>7226</v>
      </c>
      <c r="GM2" s="10">
        <v>7171</v>
      </c>
      <c r="GN2" s="10">
        <v>6883</v>
      </c>
      <c r="GO2" s="10">
        <v>7054</v>
      </c>
      <c r="GP2" s="10">
        <v>7118</v>
      </c>
      <c r="GQ2" s="10">
        <v>6645</v>
      </c>
      <c r="GR2" s="10">
        <v>6626</v>
      </c>
      <c r="GS2" s="10">
        <v>6711</v>
      </c>
      <c r="GT2" s="10">
        <v>6998</v>
      </c>
      <c r="GU2" s="10">
        <v>6343</v>
      </c>
      <c r="GV2" s="10">
        <v>6530</v>
      </c>
      <c r="GW2" s="10">
        <v>6643</v>
      </c>
      <c r="GX2" s="10">
        <v>6598</v>
      </c>
      <c r="GY2" s="10">
        <v>6638</v>
      </c>
      <c r="GZ2" s="10">
        <v>6408</v>
      </c>
      <c r="HA2" s="10">
        <v>5936</v>
      </c>
      <c r="HB2" s="10">
        <v>5610</v>
      </c>
      <c r="HC2" s="10">
        <v>5139</v>
      </c>
      <c r="HD2" s="10">
        <v>5139</v>
      </c>
      <c r="HE2" s="10">
        <v>4833</v>
      </c>
      <c r="HF2" s="10">
        <v>4151</v>
      </c>
      <c r="HG2" s="10">
        <v>4332</v>
      </c>
      <c r="HH2" s="10">
        <v>4737</v>
      </c>
      <c r="HI2" s="10">
        <v>4541</v>
      </c>
      <c r="HJ2" s="10">
        <v>4580</v>
      </c>
      <c r="HK2" s="10">
        <v>4785</v>
      </c>
      <c r="HL2" s="10">
        <v>4606</v>
      </c>
      <c r="HM2" s="10">
        <v>4567</v>
      </c>
      <c r="HN2" s="10">
        <v>4569</v>
      </c>
      <c r="HO2" s="10">
        <v>4804</v>
      </c>
      <c r="HP2" s="10">
        <v>4781</v>
      </c>
      <c r="HQ2" s="10">
        <v>4916</v>
      </c>
      <c r="HR2" s="10">
        <v>4931</v>
      </c>
      <c r="HS2" s="10">
        <v>4931</v>
      </c>
      <c r="HT2" s="10">
        <v>4980</v>
      </c>
      <c r="HU2" s="10">
        <v>5115</v>
      </c>
      <c r="HV2" s="10">
        <v>4778</v>
      </c>
      <c r="HW2" s="10">
        <v>4752</v>
      </c>
      <c r="HX2" s="10">
        <v>4752</v>
      </c>
      <c r="HY2" s="10">
        <v>4869</v>
      </c>
      <c r="HZ2" s="10">
        <v>4876</v>
      </c>
      <c r="IA2" s="10">
        <v>4796</v>
      </c>
      <c r="IB2" s="10">
        <v>4796</v>
      </c>
      <c r="IC2" s="10">
        <v>4776</v>
      </c>
      <c r="ID2" s="10">
        <v>4918</v>
      </c>
      <c r="IE2" s="10">
        <v>5049</v>
      </c>
      <c r="IF2" s="10">
        <v>4381</v>
      </c>
      <c r="IG2" s="10">
        <v>4381</v>
      </c>
      <c r="IH2" s="10">
        <v>4493</v>
      </c>
      <c r="II2" s="10">
        <v>4603</v>
      </c>
      <c r="IJ2" s="10">
        <v>4735</v>
      </c>
      <c r="IK2" s="10">
        <v>4463</v>
      </c>
      <c r="IL2" s="10">
        <v>4463</v>
      </c>
      <c r="IM2" s="10">
        <v>4571</v>
      </c>
      <c r="IN2" s="10">
        <v>4877</v>
      </c>
      <c r="IO2" s="10">
        <v>4574</v>
      </c>
      <c r="IP2" s="10">
        <v>4574</v>
      </c>
      <c r="IQ2" s="10">
        <v>4552</v>
      </c>
      <c r="IR2" s="10">
        <v>4508</v>
      </c>
      <c r="IS2" s="10">
        <v>4458</v>
      </c>
      <c r="IT2" s="10">
        <v>4458</v>
      </c>
      <c r="IU2" s="10">
        <v>4458</v>
      </c>
      <c r="IV2" s="10">
        <v>4388</v>
      </c>
      <c r="IW2" s="10">
        <v>4320</v>
      </c>
      <c r="IX2" s="10">
        <v>4258</v>
      </c>
      <c r="IY2" s="10">
        <v>4242</v>
      </c>
      <c r="IZ2" s="10">
        <v>4083</v>
      </c>
      <c r="JA2" s="10">
        <v>5258</v>
      </c>
      <c r="JB2" s="10">
        <v>5207</v>
      </c>
      <c r="JC2" s="10">
        <v>5336</v>
      </c>
      <c r="JD2" s="10">
        <v>5999</v>
      </c>
      <c r="JE2" s="10">
        <v>5999</v>
      </c>
      <c r="JF2" s="10">
        <v>5941</v>
      </c>
      <c r="JG2" s="10">
        <v>5911</v>
      </c>
      <c r="JH2" s="10">
        <v>6026</v>
      </c>
      <c r="JI2" s="10">
        <v>6026</v>
      </c>
      <c r="JJ2" s="10">
        <v>6144</v>
      </c>
      <c r="JK2" s="10">
        <v>6275</v>
      </c>
      <c r="JL2" s="10">
        <v>6323</v>
      </c>
      <c r="JM2" s="10">
        <v>6413</v>
      </c>
      <c r="JN2" s="10">
        <v>6541</v>
      </c>
      <c r="JO2" s="10">
        <v>6618</v>
      </c>
      <c r="JP2" s="10">
        <v>6362</v>
      </c>
      <c r="JQ2" s="10">
        <v>6446</v>
      </c>
      <c r="JR2" s="10">
        <v>6363</v>
      </c>
      <c r="JS2" s="10">
        <v>6425</v>
      </c>
      <c r="JT2" s="10">
        <v>6482</v>
      </c>
      <c r="JU2" s="10">
        <v>6421</v>
      </c>
      <c r="JV2" s="10">
        <v>6304</v>
      </c>
      <c r="JW2" s="102">
        <v>6711</v>
      </c>
      <c r="JX2" s="475"/>
      <c r="JY2" s="24" t="s">
        <v>46</v>
      </c>
      <c r="JZ2" s="6" t="s">
        <v>47</v>
      </c>
      <c r="KA2" s="15"/>
      <c r="KB2" s="6" t="s">
        <v>46</v>
      </c>
      <c r="KC2" s="10">
        <v>6959</v>
      </c>
      <c r="KD2" s="10">
        <v>6767</v>
      </c>
      <c r="KE2" s="10">
        <v>6431</v>
      </c>
      <c r="KF2" s="10">
        <v>6315</v>
      </c>
      <c r="KG2" s="10">
        <v>6430</v>
      </c>
      <c r="KH2" s="10">
        <v>6627</v>
      </c>
      <c r="KI2" s="10">
        <v>6600</v>
      </c>
      <c r="KJ2" s="10">
        <v>6564</v>
      </c>
      <c r="KK2" s="122"/>
      <c r="KL2" s="6" t="s">
        <v>46</v>
      </c>
      <c r="KM2" s="10">
        <v>6639</v>
      </c>
      <c r="KN2" s="10">
        <v>6856</v>
      </c>
      <c r="KO2" s="10">
        <v>6942</v>
      </c>
      <c r="KP2" s="10">
        <v>6649</v>
      </c>
      <c r="KQ2" s="10">
        <v>6649</v>
      </c>
      <c r="KR2" s="10">
        <v>6751</v>
      </c>
      <c r="KS2" s="10">
        <v>6732</v>
      </c>
      <c r="KT2" s="10">
        <v>6761</v>
      </c>
      <c r="KU2" s="10">
        <v>6806</v>
      </c>
      <c r="KV2" s="10">
        <f>6806-847.96</f>
        <v>5958.04</v>
      </c>
      <c r="KW2" s="10">
        <f>6936-847.96</f>
        <v>6088.04</v>
      </c>
      <c r="KX2" s="10">
        <f>7018-847</f>
        <v>6171</v>
      </c>
      <c r="KY2" s="10">
        <f>6796-847</f>
        <v>5949</v>
      </c>
      <c r="KZ2" s="10">
        <f>6796-847</f>
        <v>5949</v>
      </c>
      <c r="LA2" s="10">
        <f>6796-847</f>
        <v>5949</v>
      </c>
      <c r="LB2" s="10">
        <f>6747-847</f>
        <v>5900</v>
      </c>
      <c r="LC2" s="10">
        <f>6491-847</f>
        <v>5644</v>
      </c>
      <c r="LD2" s="10">
        <f>5877-847.96</f>
        <v>5029.04</v>
      </c>
      <c r="LE2" s="10">
        <f>5877-847.96</f>
        <v>5029.04</v>
      </c>
      <c r="LF2" s="10">
        <f>5953-847.96</f>
        <v>5105.04</v>
      </c>
      <c r="LG2" s="10">
        <f>5774-847.96</f>
        <v>4926.04</v>
      </c>
      <c r="LH2" s="10">
        <f>5821-847.96</f>
        <v>4973.04</v>
      </c>
      <c r="LI2" s="10">
        <f>6170-847.96</f>
        <v>5322.04</v>
      </c>
      <c r="LJ2" s="10">
        <f>6170-847.96</f>
        <v>5322.04</v>
      </c>
      <c r="LK2" s="10">
        <f>6280-847.96</f>
        <v>5432.04</v>
      </c>
      <c r="LL2" s="10">
        <f>6495-847.96</f>
        <v>5647.04</v>
      </c>
      <c r="LM2" s="10">
        <f>6389-847.96</f>
        <v>5541.04</v>
      </c>
      <c r="LN2" s="10">
        <f>6350-847.96</f>
        <v>5502.04</v>
      </c>
      <c r="LO2" s="10">
        <f>6350-847.96</f>
        <v>5502.04</v>
      </c>
      <c r="LP2" s="10">
        <f>6632-847.96</f>
        <v>5784.04</v>
      </c>
      <c r="LQ2" s="10">
        <f>6785-847.96</f>
        <v>5937.04</v>
      </c>
      <c r="LR2" s="10">
        <f>6906-847.96</f>
        <v>6058.04</v>
      </c>
      <c r="LS2" s="10">
        <f>7197-847.96</f>
        <v>6349.04</v>
      </c>
      <c r="LT2" s="10">
        <f>7197-847.96</f>
        <v>6349.04</v>
      </c>
      <c r="LU2" s="10">
        <f>7255-847.96</f>
        <v>6407.04</v>
      </c>
      <c r="LV2" s="10">
        <f>7750-847.96</f>
        <v>6902.04</v>
      </c>
      <c r="LW2" s="10">
        <f>7183-847.96</f>
        <v>6335.04</v>
      </c>
      <c r="LX2" s="10">
        <f>7099-847.96</f>
        <v>6251.04</v>
      </c>
      <c r="LY2" s="10">
        <f>6926-847.96</f>
        <v>6078.04</v>
      </c>
      <c r="LZ2" s="10">
        <f>6926-847.96</f>
        <v>6078.04</v>
      </c>
      <c r="MA2" s="10">
        <f>6860-847.96</f>
        <v>6012.04</v>
      </c>
      <c r="MB2" s="10">
        <f>7116-847.96</f>
        <v>6268.04</v>
      </c>
      <c r="MC2" s="10">
        <f>7355-847.96</f>
        <v>6507.04</v>
      </c>
      <c r="MD2" s="10">
        <f>7569-847.96</f>
        <v>6721.04</v>
      </c>
      <c r="ME2" s="10">
        <f>7552-847.96</f>
        <v>6704.04</v>
      </c>
      <c r="MF2" s="10">
        <f>7511</f>
        <v>7511</v>
      </c>
      <c r="MG2" s="10">
        <f>6666</f>
        <v>6666</v>
      </c>
      <c r="MH2" s="10">
        <f>6668</f>
        <v>6668</v>
      </c>
      <c r="MI2" s="10">
        <f>7215</f>
        <v>7215</v>
      </c>
      <c r="MJ2" s="10">
        <f>7310</f>
        <v>7310</v>
      </c>
      <c r="MK2" s="10">
        <f>7129</f>
        <v>7129</v>
      </c>
      <c r="ML2" s="10">
        <f>7320-286</f>
        <v>7034</v>
      </c>
      <c r="MM2" s="10">
        <f>7733-281</f>
        <v>7452</v>
      </c>
      <c r="MN2" s="10">
        <f>7095-281.4</f>
        <v>6813.6</v>
      </c>
      <c r="MO2" s="10">
        <f>7085-281.4</f>
        <v>6803.6</v>
      </c>
      <c r="MP2" s="10">
        <f>6974-281.4</f>
        <v>6692.6</v>
      </c>
      <c r="MQ2" s="10">
        <f>7886-256</f>
        <v>7630</v>
      </c>
      <c r="MR2" s="10">
        <f>7668-256</f>
        <v>7412</v>
      </c>
      <c r="MS2" s="10">
        <f>7388-256</f>
        <v>7132</v>
      </c>
      <c r="MT2" s="10">
        <f>7210-256</f>
        <v>6954</v>
      </c>
      <c r="MU2" s="10">
        <f>7174-242</f>
        <v>6932</v>
      </c>
      <c r="MV2" s="10">
        <f>7403-242</f>
        <v>7161</v>
      </c>
      <c r="MW2" s="10">
        <f>7670-242</f>
        <v>7428</v>
      </c>
      <c r="MX2" s="10">
        <f>7308-242</f>
        <v>7066</v>
      </c>
      <c r="MY2" s="10">
        <f>6937-242</f>
        <v>6695</v>
      </c>
      <c r="MZ2" s="10">
        <f>7577-234</f>
        <v>7343</v>
      </c>
      <c r="NA2" s="10">
        <f>7312-234</f>
        <v>7078</v>
      </c>
      <c r="NB2" s="10">
        <f>6916-234</f>
        <v>6682</v>
      </c>
      <c r="NC2" s="10">
        <f>7417-234</f>
        <v>7183</v>
      </c>
      <c r="ND2" s="10">
        <f>7273-234</f>
        <v>7039</v>
      </c>
      <c r="NE2" s="10">
        <f>6868-226</f>
        <v>6642</v>
      </c>
      <c r="NF2" s="10">
        <f>6937-226</f>
        <v>6711</v>
      </c>
      <c r="NG2" s="10">
        <f>6746-226</f>
        <v>6520</v>
      </c>
      <c r="NH2" s="10">
        <f>7166-219.45</f>
        <v>6946.55</v>
      </c>
      <c r="NI2" s="10">
        <f>7197-217</f>
        <v>6980</v>
      </c>
      <c r="NJ2" s="10">
        <f>7187-217</f>
        <v>6970</v>
      </c>
      <c r="NK2" s="10">
        <f>7564-217</f>
        <v>7347</v>
      </c>
      <c r="NL2" s="10">
        <f>7758-217</f>
        <v>7541</v>
      </c>
      <c r="NM2" s="10">
        <f>8055-217</f>
        <v>7838</v>
      </c>
      <c r="NN2" s="10">
        <f>8085-204.975</f>
        <v>7880.0249999999996</v>
      </c>
      <c r="NO2" s="10">
        <f>7730-204.975</f>
        <v>7525.0249999999996</v>
      </c>
      <c r="NP2" s="10">
        <f>7536-204.975</f>
        <v>7331.0249999999996</v>
      </c>
      <c r="NQ2" s="10">
        <f>7578-204.975</f>
        <v>7373.0249999999996</v>
      </c>
      <c r="NR2" s="10">
        <f>7796-204.975</f>
        <v>7591.0249999999996</v>
      </c>
      <c r="NS2" s="10">
        <f>7117-192.225</f>
        <v>6924.7749999999996</v>
      </c>
      <c r="NT2" s="10">
        <f>7160-192.225</f>
        <v>6967.7749999999996</v>
      </c>
      <c r="NU2" s="10">
        <f>7057-192.225</f>
        <v>6864.7749999999996</v>
      </c>
      <c r="NV2" s="10">
        <f>6830-192.225</f>
        <v>6637.7749999999996</v>
      </c>
      <c r="NW2" s="10">
        <f>6856-192.225</f>
        <v>6663.7749999999996</v>
      </c>
      <c r="NX2" s="10">
        <f>6910-188.1</f>
        <v>6721.9</v>
      </c>
      <c r="NY2" s="10">
        <f>6513-188.1</f>
        <v>6324.9</v>
      </c>
      <c r="NZ2" s="10">
        <f>6511-188.1</f>
        <v>6322.9</v>
      </c>
      <c r="OA2" s="10">
        <f>6329-188.1</f>
        <v>6140.9</v>
      </c>
      <c r="OB2" s="10">
        <f>5798-164.975</f>
        <v>5633.0249999999996</v>
      </c>
      <c r="OC2" s="10">
        <f>5309-164.975</f>
        <v>5144.0249999999996</v>
      </c>
      <c r="OD2" s="10">
        <f>5235-164.975</f>
        <v>5070.0249999999996</v>
      </c>
      <c r="OE2" s="10">
        <f>5235-164.975</f>
        <v>5070.0249999999996</v>
      </c>
      <c r="OF2" s="10">
        <f>5212-164.975</f>
        <v>5047.0249999999996</v>
      </c>
      <c r="OG2" s="10">
        <f>5610-146.275</f>
        <v>5463.7250000000004</v>
      </c>
      <c r="OH2" s="10">
        <f>5561-146.275</f>
        <v>5414.7250000000004</v>
      </c>
      <c r="OI2" s="10">
        <f>5540-146.275</f>
        <v>5393.7250000000004</v>
      </c>
      <c r="OJ2" s="10">
        <f>5406-146.275</f>
        <v>5259.7250000000004</v>
      </c>
      <c r="OK2" s="10">
        <f>5679-114.4</f>
        <v>5564.6</v>
      </c>
      <c r="OL2" s="10">
        <f>5478-114.4</f>
        <v>5363.6</v>
      </c>
      <c r="OM2" s="10">
        <f>5655-114.4</f>
        <v>5540.6</v>
      </c>
      <c r="ON2" s="10">
        <f>5656-114.025</f>
        <v>5541.9750000000004</v>
      </c>
      <c r="OO2" s="10">
        <f>5705-114.025</f>
        <v>5590.9750000000004</v>
      </c>
      <c r="OP2" s="10">
        <f>5733.36-114.025</f>
        <v>5619.335</v>
      </c>
      <c r="OQ2" s="10">
        <f>5837.14-114.025</f>
        <v>5723.1150000000007</v>
      </c>
      <c r="OR2" s="10">
        <f>5981.9-114.025</f>
        <v>5867.875</v>
      </c>
      <c r="OS2" s="10">
        <f>5745.92-104.05</f>
        <v>5641.87</v>
      </c>
      <c r="OT2" s="10">
        <f>5737.68-104.05</f>
        <v>5633.63</v>
      </c>
      <c r="OU2" s="10">
        <f>5589.55-104.05</f>
        <v>5485.5</v>
      </c>
      <c r="OV2" s="10">
        <f>5420.4-104.05</f>
        <v>5316.3499999999995</v>
      </c>
      <c r="OW2" s="10">
        <f>5467.27</f>
        <v>5467.27</v>
      </c>
      <c r="OX2" s="10">
        <f>5628.16</f>
        <v>5628.16</v>
      </c>
      <c r="OY2" s="10">
        <f>5727.85</f>
        <v>5727.85</v>
      </c>
      <c r="OZ2" s="10">
        <f>5647.16</f>
        <v>5647.16</v>
      </c>
      <c r="PA2" s="10">
        <f>5676.86</f>
        <v>5676.86</v>
      </c>
      <c r="PB2" s="10">
        <f>5757.27</f>
        <v>5757.27</v>
      </c>
      <c r="PC2" s="10">
        <f>5741.715</f>
        <v>5741.7150000000001</v>
      </c>
      <c r="PD2" s="10">
        <f>5686.765</f>
        <v>5686.7650000000003</v>
      </c>
      <c r="PE2" s="10">
        <f>5951.435</f>
        <v>5951.4350000000004</v>
      </c>
      <c r="PF2" s="10">
        <f>6258.555</f>
        <v>6258.5550000000003</v>
      </c>
      <c r="PG2" s="10">
        <f>6400.835</f>
        <v>6400.835</v>
      </c>
      <c r="PH2" s="10">
        <f>6612.22</f>
        <v>6612.22</v>
      </c>
      <c r="PI2" s="10">
        <f>6627.12</f>
        <v>6627.12</v>
      </c>
      <c r="PJ2" s="10">
        <f>6835.05</f>
        <v>6835.05</v>
      </c>
      <c r="PK2" s="10">
        <f>6764.63</f>
        <v>6764.63</v>
      </c>
      <c r="PL2" s="10">
        <f>7488.755</f>
        <v>7488.7550000000001</v>
      </c>
      <c r="PM2" s="10">
        <f>7399.205</f>
        <v>7399.2049999999999</v>
      </c>
      <c r="PN2" s="10">
        <f>7534.585</f>
        <v>7534.585</v>
      </c>
      <c r="PO2" s="10">
        <f>7329.075</f>
        <v>7329.0749999999998</v>
      </c>
      <c r="PP2" s="10">
        <f>7460.235</f>
        <v>7460.2349999999997</v>
      </c>
      <c r="PQ2" s="10">
        <f>7523.825</f>
        <v>7523.8249999999998</v>
      </c>
      <c r="PR2" s="10">
        <f>7513.075</f>
        <v>7513.0749999999998</v>
      </c>
      <c r="PS2" s="10">
        <f>7619.535</f>
        <v>7619.5349999999999</v>
      </c>
      <c r="PT2" s="10">
        <f>7380.795</f>
        <v>7380.7950000000001</v>
      </c>
      <c r="PU2" s="10">
        <f>7432.355</f>
        <v>7432.3549999999996</v>
      </c>
      <c r="PV2" s="10">
        <f>7551.765</f>
        <v>7551.7650000000003</v>
      </c>
      <c r="PW2" s="10">
        <f>7416.885</f>
        <v>7416.8850000000002</v>
      </c>
      <c r="PX2" s="10">
        <f>7220.97</f>
        <v>7220.97</v>
      </c>
      <c r="PY2" s="10">
        <f>7220.97</f>
        <v>7220.97</v>
      </c>
      <c r="PZ2" s="10">
        <f>7464</f>
        <v>7464</v>
      </c>
      <c r="QA2" s="10">
        <f>7395.92</f>
        <v>7395.92</v>
      </c>
      <c r="QB2" s="10">
        <f>7427.99</f>
        <v>7427.99</v>
      </c>
      <c r="QC2" s="10">
        <f>7431.425</f>
        <v>7431.4250000000002</v>
      </c>
      <c r="QD2" s="10">
        <f>7383.525</f>
        <v>7383.5249999999996</v>
      </c>
      <c r="QE2" s="10">
        <f>7548.185</f>
        <v>7548.1850000000004</v>
      </c>
      <c r="QF2" s="10">
        <f>7517.695</f>
        <v>7517.6949999999997</v>
      </c>
      <c r="QG2" s="10">
        <f>6942.345</f>
        <v>6942.3450000000003</v>
      </c>
      <c r="QH2" s="10">
        <f>6984.305</f>
        <v>6984.3050000000003</v>
      </c>
      <c r="QI2" s="10">
        <f>6851.765</f>
        <v>6851.7650000000003</v>
      </c>
      <c r="QJ2" s="10">
        <f>6732.855</f>
        <v>6732.8549999999996</v>
      </c>
      <c r="QK2" s="10">
        <f>6414.805</f>
        <v>6414.8050000000003</v>
      </c>
      <c r="QL2" s="10">
        <f>6414.405</f>
        <v>6414.4049999999997</v>
      </c>
      <c r="QM2" s="10">
        <f>6412.405</f>
        <v>6412.4049999999997</v>
      </c>
      <c r="QN2" s="10">
        <f>6316.765</f>
        <v>6316.7650000000003</v>
      </c>
      <c r="QO2" s="10">
        <f>6208.505</f>
        <v>6208.5050000000001</v>
      </c>
      <c r="QP2" s="10">
        <f>5824.31</f>
        <v>5824.31</v>
      </c>
      <c r="QQ2" s="10">
        <f>5824.31</f>
        <v>5824.31</v>
      </c>
      <c r="QR2" s="10">
        <f>5833.59</f>
        <v>5833.59</v>
      </c>
      <c r="QS2" s="10">
        <f>5908.32</f>
        <v>5908.32</v>
      </c>
      <c r="QT2" s="10">
        <f>5993.56</f>
        <v>5993.56</v>
      </c>
      <c r="QU2" s="10">
        <f>6170.505</f>
        <v>6170.5050000000001</v>
      </c>
      <c r="QV2" s="10">
        <f>6148.945</f>
        <v>6148.9449999999997</v>
      </c>
      <c r="QW2" s="10">
        <f>6234.045</f>
        <v>6234.0450000000001</v>
      </c>
      <c r="QX2" s="10">
        <f>6163.915</f>
        <v>6163.915</v>
      </c>
      <c r="QY2" s="10">
        <f>5731.995</f>
        <v>5731.9949999999999</v>
      </c>
      <c r="QZ2" s="10">
        <f>5732.065</f>
        <v>5732.0649999999996</v>
      </c>
      <c r="RA2" s="10">
        <f>5899.745</f>
        <v>5899.7449999999999</v>
      </c>
      <c r="RB2" s="10">
        <f>5904.205</f>
        <v>5904.2049999999999</v>
      </c>
      <c r="RC2" s="10">
        <f>5943.995</f>
        <v>5943.9949999999999</v>
      </c>
      <c r="RD2" s="10">
        <f>5991.7</f>
        <v>5991.7</v>
      </c>
      <c r="RE2" s="10">
        <f>6030.97</f>
        <v>6030.97</v>
      </c>
      <c r="RF2" s="10">
        <f>6315.97</f>
        <v>6315.97</v>
      </c>
      <c r="RG2" s="10">
        <f>6417.79</f>
        <v>6417.79</v>
      </c>
      <c r="RH2" s="10">
        <f>6326.58</f>
        <v>6326.58</v>
      </c>
      <c r="RI2" s="10">
        <f>6104.11</f>
        <v>6104.11</v>
      </c>
      <c r="RJ2" s="10">
        <f>6059.53</f>
        <v>6059.53</v>
      </c>
      <c r="RK2" s="10">
        <f>6111.5</f>
        <v>6111.5</v>
      </c>
      <c r="RL2" s="10">
        <f>6074.86</f>
        <v>6074.86</v>
      </c>
      <c r="RM2" s="10">
        <f>6200.85</f>
        <v>6200.85</v>
      </c>
      <c r="RN2" s="10">
        <f>5959.75</f>
        <v>5959.75</v>
      </c>
      <c r="RO2" s="10">
        <f>5961.3</f>
        <v>5961.3</v>
      </c>
      <c r="RP2" s="10">
        <f>5942.64</f>
        <v>5942.64</v>
      </c>
      <c r="RQ2" s="10">
        <f>5822.74</f>
        <v>5822.74</v>
      </c>
      <c r="RR2" s="10">
        <f>5799.66</f>
        <v>5799.66</v>
      </c>
      <c r="RS2" s="10">
        <f>6014.78</f>
        <v>6014.78</v>
      </c>
      <c r="RT2" s="10">
        <f>6188.63</f>
        <v>6188.63</v>
      </c>
      <c r="RU2" s="10">
        <f>6388.64</f>
        <v>6388.64</v>
      </c>
      <c r="RV2" s="10">
        <f>6532.79</f>
        <v>6532.79</v>
      </c>
      <c r="RW2" s="10">
        <f>6959.27</f>
        <v>6959.27</v>
      </c>
      <c r="RX2" s="10">
        <f>6612.345</f>
        <v>6612.3450000000003</v>
      </c>
      <c r="RY2" s="10">
        <f>6669.115</f>
        <v>6669.1149999999998</v>
      </c>
      <c r="RZ2" s="10">
        <f>6604.885</f>
        <v>6604.8850000000002</v>
      </c>
      <c r="SA2" s="10">
        <f>6558.265</f>
        <v>6558.2650000000003</v>
      </c>
      <c r="SB2" s="10">
        <f>6688.525</f>
        <v>6688.5249999999996</v>
      </c>
      <c r="SC2" s="10">
        <f>6476.89</f>
        <v>6476.89</v>
      </c>
      <c r="SD2" s="10">
        <f>6476.89</f>
        <v>6476.89</v>
      </c>
      <c r="SE2" s="10">
        <f>6329.55</f>
        <v>6329.55</v>
      </c>
      <c r="SF2" s="10">
        <f>5923.31</f>
        <v>5923.31</v>
      </c>
      <c r="SG2" s="10">
        <f>5579.69</f>
        <v>5579.69</v>
      </c>
      <c r="SH2" s="10">
        <v>5332.41</v>
      </c>
      <c r="SI2" s="10">
        <v>5260.36</v>
      </c>
      <c r="SJ2" s="10">
        <v>5704.5349999999999</v>
      </c>
      <c r="SK2" s="10">
        <v>5569.375</v>
      </c>
      <c r="SL2" s="10">
        <v>5625.4650000000001</v>
      </c>
      <c r="SM2" s="10">
        <v>5512.1449999999995</v>
      </c>
      <c r="SN2" s="10">
        <v>5715.9749999999995</v>
      </c>
      <c r="SO2" s="10">
        <v>5800.2649999999994</v>
      </c>
      <c r="SP2" s="10">
        <v>5494.0249999999996</v>
      </c>
      <c r="SQ2" s="10">
        <v>5626.8249999999998</v>
      </c>
      <c r="SR2" s="10">
        <v>5739.5450000000001</v>
      </c>
      <c r="SS2" s="10">
        <v>5918.4449999999997</v>
      </c>
      <c r="ST2" s="10">
        <v>5894.8649999999998</v>
      </c>
      <c r="SU2" s="10">
        <v>5776.585</v>
      </c>
      <c r="SV2" s="10">
        <v>5875.3850000000002</v>
      </c>
      <c r="SW2" s="10">
        <v>6020.8249999999998</v>
      </c>
      <c r="SX2" s="10">
        <v>6478.0199999999995</v>
      </c>
      <c r="SY2" s="10">
        <v>6478.0199999999995</v>
      </c>
      <c r="SZ2" s="10">
        <v>6365.51</v>
      </c>
      <c r="TA2" s="10">
        <v>6382.57</v>
      </c>
      <c r="TB2" s="10">
        <v>6545.44</v>
      </c>
      <c r="TC2" s="10">
        <v>6730.8450000000003</v>
      </c>
      <c r="TD2" s="10">
        <v>6739.9645</v>
      </c>
      <c r="TE2" s="10">
        <v>6666.2191000000012</v>
      </c>
      <c r="TF2" s="10">
        <v>7588.1158000000014</v>
      </c>
      <c r="TG2" s="10">
        <v>7850.4932000000017</v>
      </c>
      <c r="TH2" s="10">
        <v>7989.647100000002</v>
      </c>
      <c r="TI2" s="10">
        <v>7980.232500000001</v>
      </c>
      <c r="TJ2" s="10">
        <v>8115.7653000000009</v>
      </c>
      <c r="TK2" s="10">
        <v>7931.9880999999996</v>
      </c>
      <c r="TL2" s="10">
        <v>7866.0278999999991</v>
      </c>
      <c r="TM2" s="10">
        <v>7869.1760999999988</v>
      </c>
      <c r="TN2" s="10">
        <v>7933.8887000000004</v>
      </c>
      <c r="TO2" s="10">
        <v>8151.1785</v>
      </c>
      <c r="TP2" s="10">
        <v>8198.4057000000012</v>
      </c>
      <c r="TQ2" s="10">
        <v>8626.0802000000003</v>
      </c>
      <c r="TR2" s="10">
        <v>8502.6291000000001</v>
      </c>
      <c r="TS2" s="10">
        <v>8532.9991000000009</v>
      </c>
      <c r="TT2" s="10">
        <v>8574.802499999998</v>
      </c>
      <c r="TU2" s="10">
        <v>8634.3262999999988</v>
      </c>
      <c r="TV2" s="10">
        <v>8918.0612000000001</v>
      </c>
      <c r="TW2" s="10">
        <v>8841.9038</v>
      </c>
      <c r="TX2" s="10">
        <v>8911.7068999999992</v>
      </c>
      <c r="TY2" s="10">
        <v>8735.1530000000021</v>
      </c>
      <c r="TZ2" s="10">
        <v>8791.1887999999999</v>
      </c>
      <c r="UA2" s="10">
        <v>8681.7502000000004</v>
      </c>
      <c r="UB2" s="10">
        <v>8766.7731999999996</v>
      </c>
      <c r="UC2" s="10">
        <v>8740.3624</v>
      </c>
      <c r="UD2" s="10">
        <v>8309.2520000000004</v>
      </c>
      <c r="UE2" s="10">
        <v>8349.5617000000002</v>
      </c>
      <c r="UF2" s="10">
        <v>8329.7824999999993</v>
      </c>
      <c r="UG2" s="10">
        <v>8368.8696999999993</v>
      </c>
      <c r="UH2" s="10">
        <v>8501.5293999999994</v>
      </c>
      <c r="UI2" s="10">
        <v>8403.1111999999994</v>
      </c>
      <c r="UJ2" s="10">
        <v>8533.1997000000028</v>
      </c>
      <c r="UK2" s="10">
        <v>8388.9114000000009</v>
      </c>
      <c r="UL2" s="10">
        <v>8498</v>
      </c>
      <c r="UM2" s="10">
        <v>8481.946100000001</v>
      </c>
      <c r="UN2" s="10">
        <v>8470.3525999999983</v>
      </c>
      <c r="UO2" s="10">
        <v>8337.0241000000024</v>
      </c>
      <c r="UP2" s="10">
        <v>8195.9989999999998</v>
      </c>
      <c r="UQ2" s="10">
        <v>8386.2100000000028</v>
      </c>
      <c r="UR2" s="10">
        <v>8616.0204000000012</v>
      </c>
      <c r="US2" s="10">
        <v>8331.4097000000002</v>
      </c>
      <c r="UT2" s="10">
        <v>8115.5706</v>
      </c>
      <c r="UU2" s="10">
        <v>8086.8652000000002</v>
      </c>
      <c r="UV2" s="10">
        <v>7941.4096000000009</v>
      </c>
      <c r="UW2" s="10">
        <v>7796.3578999999982</v>
      </c>
      <c r="UX2" s="10">
        <v>7635.7039000000004</v>
      </c>
      <c r="UY2" s="10">
        <v>7569.6697999999988</v>
      </c>
      <c r="UZ2" s="10">
        <v>7551.5038999999988</v>
      </c>
      <c r="VA2" s="10">
        <v>7534.3219000000008</v>
      </c>
      <c r="VB2" s="10">
        <v>7480.3026</v>
      </c>
      <c r="VC2" s="10">
        <v>7654.5534000000016</v>
      </c>
      <c r="VD2" s="10">
        <v>7524.7337999999982</v>
      </c>
      <c r="VE2" s="10">
        <v>7851</v>
      </c>
      <c r="VF2" s="10">
        <v>7903</v>
      </c>
      <c r="VG2" s="10">
        <v>8409.1695999999993</v>
      </c>
      <c r="VH2" s="10">
        <v>8457.6740000000009</v>
      </c>
      <c r="VI2" s="10">
        <v>8745.9681</v>
      </c>
      <c r="VJ2" s="10">
        <v>8636.1430000000018</v>
      </c>
      <c r="VK2" s="10">
        <v>8980.5917999999983</v>
      </c>
      <c r="VL2" s="10">
        <v>9170.1368999999995</v>
      </c>
      <c r="VM2" s="10">
        <v>9091.4836999999989</v>
      </c>
      <c r="VN2" s="10">
        <v>9331.3715999999968</v>
      </c>
      <c r="VO2" s="10">
        <v>9445.9521999999979</v>
      </c>
      <c r="VP2" s="10">
        <v>9314.9054000000015</v>
      </c>
      <c r="VQ2" s="10">
        <v>9204.5152999999991</v>
      </c>
      <c r="VR2" s="10">
        <v>9055.8719999999994</v>
      </c>
      <c r="VS2" s="10">
        <v>8963.2637000000013</v>
      </c>
      <c r="VT2" s="10">
        <v>8859.8646999999983</v>
      </c>
      <c r="VU2" s="10">
        <v>8449.2787000000008</v>
      </c>
      <c r="VV2" s="10">
        <v>8519.4992999999995</v>
      </c>
      <c r="VW2" s="10">
        <v>8649.3798999999999</v>
      </c>
      <c r="VX2" s="10">
        <v>8389.8615000000027</v>
      </c>
      <c r="VY2" s="10">
        <v>8424.1649999999991</v>
      </c>
      <c r="VZ2" s="10">
        <v>8622.4909999999982</v>
      </c>
      <c r="WA2" s="10">
        <v>8457.5336999999981</v>
      </c>
      <c r="WB2" s="10">
        <v>8710.1643999999997</v>
      </c>
      <c r="WC2" s="10">
        <v>8561.7971999999991</v>
      </c>
      <c r="WD2" s="10">
        <v>8551.2837999999992</v>
      </c>
      <c r="WE2" s="10">
        <v>8227.5663000000004</v>
      </c>
      <c r="WF2" s="10">
        <v>8127.4345999999996</v>
      </c>
      <c r="WG2" s="10">
        <v>8037.5163999999995</v>
      </c>
      <c r="WH2" s="10">
        <v>8136.3928999999998</v>
      </c>
      <c r="WI2" s="10">
        <v>8827.2400000000016</v>
      </c>
      <c r="WJ2" s="10">
        <v>8990.6856999999964</v>
      </c>
      <c r="WK2" s="10">
        <v>9248.0914999999986</v>
      </c>
      <c r="WL2" s="10">
        <v>9062.6586000000007</v>
      </c>
      <c r="WM2" s="10">
        <v>9046.9758000000002</v>
      </c>
      <c r="WN2" s="10">
        <v>9424.2011999999995</v>
      </c>
      <c r="WO2" s="10">
        <v>9541.5373</v>
      </c>
      <c r="WP2" s="10">
        <v>9688.9485999999997</v>
      </c>
      <c r="WQ2" s="10">
        <v>9579.9735999999975</v>
      </c>
      <c r="WR2" s="10">
        <v>9568.2486000000008</v>
      </c>
      <c r="WS2" s="10">
        <v>9697.0951999999997</v>
      </c>
      <c r="WT2" s="10">
        <v>9608.7691999999988</v>
      </c>
      <c r="WU2" s="10">
        <v>9564.7517000000007</v>
      </c>
      <c r="WV2" s="10">
        <v>9695.6051000000007</v>
      </c>
      <c r="WW2" s="10">
        <v>9773.1939999999995</v>
      </c>
      <c r="WX2" s="10">
        <v>9805.2453999999998</v>
      </c>
      <c r="WY2" s="10">
        <v>9122.8968000000023</v>
      </c>
      <c r="WZ2" s="10">
        <v>9065.0427000000036</v>
      </c>
      <c r="XA2" s="10">
        <v>9218.5569000000032</v>
      </c>
      <c r="XB2" s="10">
        <v>9312.6503000000012</v>
      </c>
      <c r="XC2" s="10">
        <v>9351.6144999999997</v>
      </c>
      <c r="XD2" s="10">
        <v>9268.9375999999993</v>
      </c>
      <c r="XE2" s="10">
        <v>9093.6978999999974</v>
      </c>
      <c r="XF2" s="10">
        <v>8912.2428</v>
      </c>
      <c r="XG2" s="10">
        <v>8929.3925999999992</v>
      </c>
      <c r="XH2" s="10">
        <v>9021.953300000001</v>
      </c>
      <c r="XI2" s="10">
        <v>8994.3538000000008</v>
      </c>
      <c r="XJ2" s="10">
        <v>9098.5410999999986</v>
      </c>
      <c r="XK2" s="10">
        <v>9129.155700000003</v>
      </c>
      <c r="XL2" s="10">
        <v>9165.1798999999992</v>
      </c>
      <c r="XM2" s="10">
        <v>9460.6165000000019</v>
      </c>
      <c r="XN2" s="10">
        <v>9591.5951999999997</v>
      </c>
      <c r="XO2" s="10">
        <v>9251.034599999999</v>
      </c>
      <c r="XP2" s="10">
        <v>8385.8095000000012</v>
      </c>
      <c r="XQ2" s="10">
        <v>8538.5973000000013</v>
      </c>
      <c r="XR2" s="10">
        <v>8637.6286</v>
      </c>
      <c r="XS2" s="10">
        <v>8623.615600000001</v>
      </c>
      <c r="XT2" s="10">
        <v>8572.9436000000005</v>
      </c>
      <c r="XU2" s="10">
        <v>8572.0573999999997</v>
      </c>
      <c r="XV2" s="10">
        <v>8722.0204999999969</v>
      </c>
      <c r="XW2" s="10">
        <v>8640.0218000000004</v>
      </c>
      <c r="XX2" s="10">
        <v>8543.3672000000006</v>
      </c>
      <c r="XY2" s="10">
        <v>8585.8556000000008</v>
      </c>
      <c r="XZ2" s="10">
        <v>8391.0774000000001</v>
      </c>
      <c r="YA2" s="10">
        <v>8406.2412999999997</v>
      </c>
      <c r="YB2" s="10">
        <v>8160.0784000000012</v>
      </c>
      <c r="YC2" s="10">
        <v>8286.019199999997</v>
      </c>
      <c r="YD2" s="10">
        <v>8159.8672999999981</v>
      </c>
      <c r="YE2" s="10">
        <v>8344.269199999997</v>
      </c>
      <c r="YF2" s="10">
        <v>8375.9607999999989</v>
      </c>
      <c r="YG2" s="10">
        <v>8454.1358</v>
      </c>
      <c r="YH2" s="10">
        <v>8360.0955999999987</v>
      </c>
      <c r="YI2" s="10">
        <v>7732.7804999999989</v>
      </c>
      <c r="YJ2" s="10">
        <v>7794.9863000000005</v>
      </c>
      <c r="YK2" s="10">
        <v>7950.4897999999994</v>
      </c>
      <c r="YL2" s="10">
        <v>7801.651499999999</v>
      </c>
      <c r="YM2" s="10">
        <v>7861.4929999999986</v>
      </c>
      <c r="YN2" s="10">
        <v>7896.4277509999993</v>
      </c>
      <c r="YO2" s="10">
        <v>7871.7101149999999</v>
      </c>
      <c r="YP2" s="10">
        <v>7951.9628149999999</v>
      </c>
      <c r="YQ2" s="10">
        <v>8103.0651970000008</v>
      </c>
      <c r="YR2" s="10">
        <v>8469.375654999998</v>
      </c>
      <c r="YS2" s="10">
        <v>8374.9065869999995</v>
      </c>
      <c r="YT2" s="10">
        <v>7842.0735369999984</v>
      </c>
      <c r="YU2" s="10">
        <v>8126.2395120000001</v>
      </c>
      <c r="YV2" s="10">
        <v>8107.0883120000008</v>
      </c>
      <c r="YW2" s="10">
        <v>8154.8782119999987</v>
      </c>
      <c r="YX2" s="10">
        <v>9129.0474119999963</v>
      </c>
      <c r="YY2" s="10">
        <v>7854.4760259999994</v>
      </c>
      <c r="YZ2" s="10">
        <v>7287.394659999999</v>
      </c>
      <c r="ZA2" s="10">
        <v>7472.4011660000015</v>
      </c>
      <c r="ZB2" s="10">
        <v>7567.4049054000006</v>
      </c>
      <c r="ZC2" s="10">
        <v>7652.1391370000001</v>
      </c>
      <c r="ZD2" s="10">
        <v>7512.4650569999985</v>
      </c>
      <c r="ZE2" s="10">
        <v>7605.8157480000009</v>
      </c>
      <c r="ZF2" s="10">
        <v>7605.0477480000018</v>
      </c>
      <c r="ZG2" s="10">
        <v>7726.6280740000002</v>
      </c>
      <c r="ZH2" s="10">
        <v>8080.6117500000028</v>
      </c>
      <c r="ZI2" s="10">
        <v>8224.3386520000004</v>
      </c>
      <c r="ZJ2" s="10">
        <v>8414.350698000002</v>
      </c>
      <c r="ZK2" s="10">
        <v>8396.9358979999997</v>
      </c>
      <c r="ZL2" s="10">
        <v>8480.5159585000001</v>
      </c>
      <c r="ZM2" s="10">
        <v>8444.3025379999999</v>
      </c>
      <c r="ZN2" s="10">
        <v>8668.1086379999997</v>
      </c>
      <c r="ZO2" s="10">
        <v>8439.0720380000021</v>
      </c>
      <c r="ZP2" s="10">
        <v>8399.4677380000012</v>
      </c>
      <c r="ZQ2" s="10">
        <v>8259.8605301999996</v>
      </c>
      <c r="ZR2" s="10">
        <v>8313.1960279999985</v>
      </c>
      <c r="ZS2" s="10">
        <v>8408.0949239999991</v>
      </c>
      <c r="ZT2" s="10">
        <v>8310.8991521999997</v>
      </c>
      <c r="ZU2" s="10">
        <v>8508.6384258800026</v>
      </c>
      <c r="ZV2" s="10">
        <v>8858.4210879999991</v>
      </c>
      <c r="ZW2" s="10">
        <v>8903.7811380000039</v>
      </c>
      <c r="ZX2" s="10">
        <v>8580.1881178000003</v>
      </c>
      <c r="ZY2" s="10">
        <v>8759.1071257999993</v>
      </c>
      <c r="ZZ2" s="10">
        <v>8754.9196257999974</v>
      </c>
      <c r="AAA2" s="10">
        <v>8781.4247557999988</v>
      </c>
      <c r="AAB2" s="10">
        <v>8679.4579217999999</v>
      </c>
      <c r="AAC2" s="10">
        <v>8796.2253717999993</v>
      </c>
      <c r="AAD2" s="10">
        <v>8472.3609245999996</v>
      </c>
      <c r="AAE2" s="10">
        <v>8162.6885051000017</v>
      </c>
      <c r="AAF2" s="10">
        <v>7762.6093217999996</v>
      </c>
      <c r="AAG2" s="10">
        <v>7914.8854785000012</v>
      </c>
      <c r="AAH2" s="10">
        <v>7803.4390900000008</v>
      </c>
      <c r="AAI2" s="10">
        <v>7989.1965899999996</v>
      </c>
      <c r="AAJ2" s="10">
        <v>8135.2375900000006</v>
      </c>
      <c r="AAK2" s="10">
        <v>7903.2241621000003</v>
      </c>
      <c r="AAL2" s="10">
        <v>8012.2011621000011</v>
      </c>
      <c r="AAM2" s="10">
        <v>8376.4757816000001</v>
      </c>
      <c r="AAN2" s="10">
        <v>8472.9268816000003</v>
      </c>
      <c r="AAO2" s="10">
        <v>8732.1021816000011</v>
      </c>
      <c r="AAP2" s="10">
        <v>9223.302581599999</v>
      </c>
      <c r="AAQ2" s="10">
        <v>9190.456481600002</v>
      </c>
      <c r="AAR2" s="10">
        <v>9277.6066153000011</v>
      </c>
      <c r="AAS2" s="10">
        <v>9370.8759872999999</v>
      </c>
      <c r="AAT2" s="10">
        <v>8968.0074372999989</v>
      </c>
      <c r="AAU2" s="10">
        <v>8955.5604772999995</v>
      </c>
      <c r="AAV2" s="10">
        <v>9253.2410753000022</v>
      </c>
      <c r="AAW2" s="10">
        <v>9163.7132632999965</v>
      </c>
      <c r="AAX2" s="10">
        <v>9178.4813417999994</v>
      </c>
      <c r="AAY2" s="10">
        <v>9091.8427207000004</v>
      </c>
      <c r="AAZ2" s="10">
        <v>9250.3541428999997</v>
      </c>
      <c r="ABA2" s="10">
        <v>9139.7729428999974</v>
      </c>
      <c r="ABB2" s="10">
        <v>9186.4212687999989</v>
      </c>
      <c r="ABC2" s="10">
        <v>8847.8712687999996</v>
      </c>
      <c r="ABD2" s="10">
        <v>8465.5230687999992</v>
      </c>
      <c r="ABE2" s="4"/>
      <c r="ABF2" s="87" t="s">
        <v>63</v>
      </c>
      <c r="ABG2" s="10">
        <v>8465.5230687999992</v>
      </c>
      <c r="ABH2" s="125">
        <f t="shared" ref="ABH2:ABH10" si="0">IF((ABG2/ABN2)&gt;1,1,(ABG2/ABN2))</f>
        <v>0.89110769145263147</v>
      </c>
      <c r="ABI2" s="126">
        <f>IF((ABN2*0.9)-ABG2&lt;0,0,(ABN2*0.9)-ABG2)</f>
        <v>84.476931200000763</v>
      </c>
      <c r="ABJ2" s="127"/>
      <c r="ABK2" s="10">
        <f t="shared" ref="ABK2:ABK10" si="1">IF((ABN2*0.95-ABG2)&lt;0,0,(ABN2*0.95-ABG2))-ABJ2</f>
        <v>559.47693120000076</v>
      </c>
      <c r="ABL2" s="87" t="s">
        <v>63</v>
      </c>
      <c r="ABM2" s="8" t="s">
        <v>47</v>
      </c>
      <c r="ABN2" s="128">
        <f>9000+500</f>
        <v>9500</v>
      </c>
      <c r="ABO2" s="7">
        <v>60000</v>
      </c>
      <c r="ABP2" s="236"/>
      <c r="ABQ2" t="s">
        <v>111</v>
      </c>
      <c r="ABR2" t="s">
        <v>112</v>
      </c>
      <c r="ABS2"/>
      <c r="ABT2"/>
      <c r="ABU2"/>
      <c r="ABV2"/>
      <c r="ABZ2" s="83" t="s">
        <v>44</v>
      </c>
      <c r="ACA2" s="129" t="s">
        <v>104</v>
      </c>
      <c r="ACB2" s="83" t="s">
        <v>78</v>
      </c>
      <c r="ACC2" s="83" t="s">
        <v>105</v>
      </c>
      <c r="ACD2" s="83" t="s">
        <v>106</v>
      </c>
      <c r="ACE2" s="83" t="s">
        <v>107</v>
      </c>
      <c r="ACF2" s="83" t="s">
        <v>44</v>
      </c>
      <c r="ACG2" s="83" t="s">
        <v>62</v>
      </c>
      <c r="ACH2" s="83" t="s">
        <v>45</v>
      </c>
      <c r="ACI2" s="83" t="s">
        <v>108</v>
      </c>
    </row>
    <row r="3" spans="1:769" ht="30" x14ac:dyDescent="0.25">
      <c r="A3" s="6" t="s">
        <v>48</v>
      </c>
      <c r="B3" s="8" t="s">
        <v>47</v>
      </c>
      <c r="C3" s="7">
        <v>8000</v>
      </c>
      <c r="D3" s="10">
        <f>Sheet2!E3*0+(8000*0.9-9000*0.125)</f>
        <v>6075</v>
      </c>
      <c r="E3" s="10">
        <f t="shared" ref="E3:V3" si="2">D3</f>
        <v>6075</v>
      </c>
      <c r="F3" s="10">
        <f t="shared" si="2"/>
        <v>6075</v>
      </c>
      <c r="G3" s="10">
        <f t="shared" si="2"/>
        <v>6075</v>
      </c>
      <c r="H3" s="10">
        <f t="shared" si="2"/>
        <v>6075</v>
      </c>
      <c r="I3" s="10">
        <f t="shared" si="2"/>
        <v>6075</v>
      </c>
      <c r="J3" s="10">
        <f t="shared" si="2"/>
        <v>6075</v>
      </c>
      <c r="K3" s="10">
        <f t="shared" si="2"/>
        <v>6075</v>
      </c>
      <c r="L3" s="10">
        <f t="shared" si="2"/>
        <v>6075</v>
      </c>
      <c r="M3" s="10">
        <f t="shared" si="2"/>
        <v>6075</v>
      </c>
      <c r="N3" s="10">
        <f t="shared" si="2"/>
        <v>6075</v>
      </c>
      <c r="O3" s="10">
        <f t="shared" si="2"/>
        <v>6075</v>
      </c>
      <c r="P3" s="10">
        <f t="shared" si="2"/>
        <v>6075</v>
      </c>
      <c r="Q3" s="10">
        <f t="shared" si="2"/>
        <v>6075</v>
      </c>
      <c r="R3" s="10">
        <f t="shared" si="2"/>
        <v>6075</v>
      </c>
      <c r="S3" s="10">
        <f t="shared" si="2"/>
        <v>6075</v>
      </c>
      <c r="T3" s="10">
        <f t="shared" si="2"/>
        <v>6075</v>
      </c>
      <c r="U3" s="10">
        <f t="shared" si="2"/>
        <v>6075</v>
      </c>
      <c r="V3" s="10">
        <f t="shared" si="2"/>
        <v>6075</v>
      </c>
      <c r="W3" s="10"/>
      <c r="X3" s="10"/>
      <c r="Y3" s="10">
        <f>V3</f>
        <v>6075</v>
      </c>
      <c r="Z3" s="10">
        <f t="shared" ref="Z3:AR3" si="3">Y3</f>
        <v>6075</v>
      </c>
      <c r="AA3" s="10">
        <f t="shared" si="3"/>
        <v>6075</v>
      </c>
      <c r="AB3" s="10">
        <f t="shared" si="3"/>
        <v>6075</v>
      </c>
      <c r="AC3" s="10">
        <f t="shared" si="3"/>
        <v>6075</v>
      </c>
      <c r="AD3" s="10">
        <f t="shared" si="3"/>
        <v>6075</v>
      </c>
      <c r="AE3" s="10">
        <f t="shared" si="3"/>
        <v>6075</v>
      </c>
      <c r="AF3" s="10">
        <f t="shared" si="3"/>
        <v>6075</v>
      </c>
      <c r="AG3" s="10">
        <f t="shared" si="3"/>
        <v>6075</v>
      </c>
      <c r="AH3" s="10">
        <f t="shared" si="3"/>
        <v>6075</v>
      </c>
      <c r="AI3" s="10">
        <f t="shared" si="3"/>
        <v>6075</v>
      </c>
      <c r="AJ3" s="10">
        <f t="shared" si="3"/>
        <v>6075</v>
      </c>
      <c r="AK3" s="10">
        <f t="shared" si="3"/>
        <v>6075</v>
      </c>
      <c r="AL3" s="10">
        <f t="shared" si="3"/>
        <v>6075</v>
      </c>
      <c r="AM3" s="10">
        <f t="shared" si="3"/>
        <v>6075</v>
      </c>
      <c r="AN3" s="10">
        <f t="shared" si="3"/>
        <v>6075</v>
      </c>
      <c r="AO3" s="10">
        <f t="shared" si="3"/>
        <v>6075</v>
      </c>
      <c r="AP3" s="10">
        <f t="shared" si="3"/>
        <v>6075</v>
      </c>
      <c r="AQ3" s="10">
        <f t="shared" si="3"/>
        <v>6075</v>
      </c>
      <c r="AR3" s="10">
        <f t="shared" si="3"/>
        <v>6075</v>
      </c>
      <c r="AS3" s="10">
        <f>11030-AS5-(12000*0.125)</f>
        <v>8558</v>
      </c>
      <c r="AT3" s="10">
        <f>11097-AT5-(12000*0.125)</f>
        <v>8507</v>
      </c>
      <c r="AU3" s="10">
        <f>11096-AU5-(12000*0.125)</f>
        <v>8537</v>
      </c>
      <c r="AV3" s="10">
        <f>10939-AV5-(12000*0.125)</f>
        <v>8441</v>
      </c>
      <c r="AW3" s="10">
        <f>9506-AW5-(12000*0.125)</f>
        <v>7008</v>
      </c>
      <c r="AX3" s="10">
        <f>9300-AX5-(12000*0.125)</f>
        <v>6817</v>
      </c>
      <c r="AY3" s="10">
        <f>9477-AY5-(12000*0.125)</f>
        <v>6994</v>
      </c>
      <c r="AZ3" s="10">
        <f>9450-AZ5-(12000*0.125)</f>
        <v>6985</v>
      </c>
      <c r="BA3" s="10">
        <f>9499-BA5-(12000*0.125)</f>
        <v>6907</v>
      </c>
      <c r="BB3" s="10">
        <f>9769-BB5-(12000*0.125)</f>
        <v>7149</v>
      </c>
      <c r="BC3" s="10">
        <f>9929-BC5-(12000*0.125)</f>
        <v>7313</v>
      </c>
      <c r="BD3" s="10">
        <f>9693-BD5-(2000*0.125)</f>
        <v>8384</v>
      </c>
      <c r="BE3" s="10">
        <f>9694-BE5-(2000*0.125)</f>
        <v>8439</v>
      </c>
      <c r="BF3" s="10">
        <f>9451-BF5-(2000*0.125*0)</f>
        <v>8502</v>
      </c>
      <c r="BG3" s="10">
        <f>9381-BG5-(2000*0.125*0)</f>
        <v>8459</v>
      </c>
      <c r="BH3" s="10">
        <f>10124-BH5-(2000*0.125*0)</f>
        <v>9200</v>
      </c>
      <c r="BI3" s="10">
        <f>10172-BI5-(2000*0.125*0)</f>
        <v>9286</v>
      </c>
      <c r="BJ3" s="10">
        <f>10226-BJ5-(2000*0.125*0)</f>
        <v>9336</v>
      </c>
      <c r="BK3" s="10">
        <f>10122-BK5-(2000*0.125*0)</f>
        <v>9241</v>
      </c>
      <c r="BL3" s="10">
        <f>10140-BL5-(2000*0.125*0)</f>
        <v>9163</v>
      </c>
      <c r="BM3" s="10">
        <f>10184-BM5-(2000*0.125*0)</f>
        <v>9204</v>
      </c>
      <c r="BN3" s="10">
        <f>10398-BN5-(2000*0.125*0)</f>
        <v>9455</v>
      </c>
      <c r="BO3" s="10">
        <f>10138-BO5-(2000*0.125*0)</f>
        <v>9196</v>
      </c>
      <c r="BP3" s="10">
        <f>10210-BP5-(2000*0.125*0)</f>
        <v>9268</v>
      </c>
      <c r="BQ3" s="10">
        <f>10328-BQ5-(2000*0.125*0)</f>
        <v>9375</v>
      </c>
      <c r="BR3" s="10">
        <f>10116-BR5-(2000*0.125*0)</f>
        <v>9156</v>
      </c>
      <c r="BS3" s="10">
        <f>10106-BS5-(2000*0.125*0)</f>
        <v>9131</v>
      </c>
      <c r="BT3" s="10">
        <f>9980-BT5-(2000*0.125*0)</f>
        <v>9001</v>
      </c>
      <c r="BU3" s="10">
        <f>9501-BU5-(2000*0.125*0)</f>
        <v>8549</v>
      </c>
      <c r="BV3" s="10">
        <f>9493-BV5-(2000*0.125*0)</f>
        <v>8552</v>
      </c>
      <c r="BW3" s="10">
        <f>9645-BW5-(2000*0.125*0)</f>
        <v>8686</v>
      </c>
      <c r="BX3" s="10">
        <f>9531-BX5-(2000*0.125*0)</f>
        <v>8569</v>
      </c>
      <c r="BY3" s="10">
        <f>9584-BY5-(2000*0.125*0)</f>
        <v>8597</v>
      </c>
      <c r="BZ3" s="10">
        <v>8472</v>
      </c>
      <c r="CA3" s="10">
        <f>9442-CA5-(2000*0.125*0)</f>
        <v>8539</v>
      </c>
      <c r="CB3" s="10">
        <f>9439-CB5-(2000*0.125*0)</f>
        <v>8530</v>
      </c>
      <c r="CC3" s="10">
        <f>9651-CC5-(2000*0.125*0)</f>
        <v>8754</v>
      </c>
      <c r="CD3" s="10">
        <f>9650-CD5-(2000*0.125*0)</f>
        <v>8772</v>
      </c>
      <c r="CE3" s="10">
        <f>9427-CE5-(2000*0.125*0)</f>
        <v>8554</v>
      </c>
      <c r="CF3" s="10">
        <f>9432-CF5-(2000*0.125*0)</f>
        <v>8562</v>
      </c>
      <c r="CG3" s="10">
        <f>9487-CG5-(2000*0.125*0)</f>
        <v>8622</v>
      </c>
      <c r="CH3" s="10">
        <f>9434-CH5-(2000*0.125*0)</f>
        <v>8564</v>
      </c>
      <c r="CI3" s="10">
        <f>9434-CI5-(2000*0.125*0)</f>
        <v>8567</v>
      </c>
      <c r="CJ3" s="10">
        <f>9288-CJ5-(2000*0.125*0)</f>
        <v>8418</v>
      </c>
      <c r="CK3" s="10">
        <f>9437-CK5-(2000*0.125*0)</f>
        <v>8557</v>
      </c>
      <c r="CL3" s="10">
        <f>9485-CL5-(2000*0.125*0)</f>
        <v>8491</v>
      </c>
      <c r="CM3" s="10">
        <f>9758-CM5-(2000*0.125*0)</f>
        <v>8981</v>
      </c>
      <c r="CN3" s="10">
        <f>9854-CN5-(2000*0.125*0)</f>
        <v>8880</v>
      </c>
      <c r="CO3" s="10">
        <f>9815-CO5-(2000*0.125*0)</f>
        <v>8776</v>
      </c>
      <c r="CP3" s="10">
        <f>11486-CP5-(2000*0.125*0)</f>
        <v>10319</v>
      </c>
      <c r="CQ3" s="10">
        <f>11458-CQ5-(2000*0.125*0)</f>
        <v>10289</v>
      </c>
      <c r="CR3" s="10">
        <f>11606-CR5-(2000*0.125*0)</f>
        <v>10459</v>
      </c>
      <c r="CS3" s="10">
        <f>11338-CS5-(2000*0.125*0)</f>
        <v>10162</v>
      </c>
      <c r="CT3" s="10">
        <f>11468-CT5-(2000*0.125*0)</f>
        <v>10279</v>
      </c>
      <c r="CU3" s="10">
        <f>11559-CU5-(2000*0.125*0)</f>
        <v>10257</v>
      </c>
      <c r="CV3" s="10">
        <f>11488-CV5-(2000*0.125*0)</f>
        <v>10204</v>
      </c>
      <c r="CW3" s="10">
        <f>11722-CW5-(2000*0.125*0)</f>
        <v>10811</v>
      </c>
      <c r="CX3" s="10">
        <f>11654-CX5-(2000*0.125*0)</f>
        <v>11654</v>
      </c>
      <c r="CY3" s="10">
        <f>11650-CY5-(2000*0.125*0)</f>
        <v>10826</v>
      </c>
      <c r="CZ3" s="10">
        <f>11863-CZ5-(2000*0.125*0)</f>
        <v>11863</v>
      </c>
      <c r="DA3" s="10">
        <f>12360-DA5-(2000*0.125*0)</f>
        <v>11208</v>
      </c>
      <c r="DB3" s="10">
        <f>12255-DB5-(2000*0.125*0)</f>
        <v>11084</v>
      </c>
      <c r="DC3" s="10">
        <f>12272-DC5-(2000*0.125*0)</f>
        <v>11238</v>
      </c>
      <c r="DD3" s="10">
        <f>12260-DD5-(2000*0.125*0)</f>
        <v>11296</v>
      </c>
      <c r="DE3" s="10">
        <f>12310-DE5-(2000*0.125*0)</f>
        <v>11358</v>
      </c>
      <c r="DF3" s="10">
        <f>12253-DF5-(2000*0.125*0)</f>
        <v>12253</v>
      </c>
      <c r="DG3" s="10">
        <f>12235-DG5-(2000*0.125*0)</f>
        <v>12235</v>
      </c>
      <c r="DH3" s="10">
        <f>12286-DH5-(2000*0.125*0)</f>
        <v>12286</v>
      </c>
      <c r="DI3" s="10">
        <f>12218-DI5-(2000*0.125*0)</f>
        <v>12218</v>
      </c>
      <c r="DJ3" s="10">
        <f>11919-DJ5-(2000*0.125*0)</f>
        <v>10412</v>
      </c>
      <c r="DK3" s="10">
        <f>11840-DK5-(2000*0.125*0)</f>
        <v>11840</v>
      </c>
      <c r="DL3" s="10">
        <f>11945-DL5-(2000*0.125*0)</f>
        <v>10436</v>
      </c>
      <c r="DM3" s="10">
        <f>12103-DM5-(2000*0.125*0)</f>
        <v>10287</v>
      </c>
      <c r="DN3" s="10">
        <f>12399-DN5-(2000*0.125*0)</f>
        <v>10688</v>
      </c>
      <c r="DO3" s="10">
        <f>12399-DO5-(2000*0.125*0)</f>
        <v>12399</v>
      </c>
      <c r="DP3" s="10">
        <f>11918-DP5-(2000*0.125*0)</f>
        <v>10117</v>
      </c>
      <c r="DQ3" s="10">
        <f>11918-DQ5-(2000*0.125*0)</f>
        <v>11918</v>
      </c>
      <c r="DR3" s="10">
        <f>12106-DR5-(2000*0.125*0)</f>
        <v>10373</v>
      </c>
      <c r="DS3" s="10">
        <f>12054-DS5-(2000*0.125*0)</f>
        <v>12054</v>
      </c>
      <c r="DT3" s="10">
        <f>11889-DT5-(2000*0.125*0)</f>
        <v>10176</v>
      </c>
      <c r="DU3" s="10">
        <f>11883-DU5-(2000*0.125*0)</f>
        <v>10270</v>
      </c>
      <c r="DV3" s="10">
        <f>11900-DV5-(2000*0.125*0)</f>
        <v>10245</v>
      </c>
      <c r="DW3" s="10">
        <f>11895-DW5-(2000*0.125*0)</f>
        <v>10260</v>
      </c>
      <c r="DX3" s="10">
        <f>11589-DX5-(2000*0.125*0)</f>
        <v>9996</v>
      </c>
      <c r="DY3" s="10">
        <f>11489-DY5-(2000*0.125*0)</f>
        <v>9917</v>
      </c>
      <c r="DZ3" s="10">
        <f>11666-DZ5-(2000*0.125*0)</f>
        <v>10125</v>
      </c>
      <c r="EA3" s="10">
        <f>11727-EA5-(2000*0.125*0)</f>
        <v>10177.26</v>
      </c>
      <c r="EB3" s="10">
        <f>11707-EB5-(2000*0.125*0)</f>
        <v>11707</v>
      </c>
      <c r="EC3" s="10">
        <f>11595-EC5-(2000*0.125*0)</f>
        <v>11595</v>
      </c>
      <c r="ED3" s="10">
        <f>11630-ED5-(2000*0.125*0)</f>
        <v>10091</v>
      </c>
      <c r="EE3" s="10">
        <f>11794-EE5-(2000*0.125*0)</f>
        <v>10237</v>
      </c>
      <c r="EF3" s="10">
        <f>11881-EF5-(2000*0.125*0)</f>
        <v>10324</v>
      </c>
      <c r="EG3" s="10">
        <f>11867-EG5-(2000*0.125*0)</f>
        <v>10284</v>
      </c>
      <c r="EH3" s="10">
        <f>12018-EH5-(2000*0.125*0)</f>
        <v>10456</v>
      </c>
      <c r="EI3" s="10">
        <f>12021-EI5-(2000*0.125*0)</f>
        <v>10436</v>
      </c>
      <c r="EJ3" s="10">
        <f>11758-EJ5-(2000*0.125*0)</f>
        <v>10244</v>
      </c>
      <c r="EK3" s="10">
        <f>11565-EK5-(2000*0.125*0)</f>
        <v>10148</v>
      </c>
      <c r="EL3" s="10">
        <f>11565-EL5-(2000*0.125*0)</f>
        <v>11565</v>
      </c>
      <c r="EM3" s="10">
        <f>11565-EM5-(2000*0.125*0)</f>
        <v>11565</v>
      </c>
      <c r="EN3" s="10">
        <f>10874-EN5-(2000*0.125*0)</f>
        <v>9441</v>
      </c>
      <c r="EO3" s="10">
        <f>10885-EO5-(2000*0.125*0)</f>
        <v>9449</v>
      </c>
      <c r="EP3" s="10">
        <f>10958-EP5-(2000*0.125*0)</f>
        <v>9535</v>
      </c>
      <c r="EQ3" s="10">
        <f>10993-EQ5-(2000*0.125*0)</f>
        <v>10993</v>
      </c>
      <c r="ER3" s="10">
        <f>11216-ER5-(2000*0.125*0)</f>
        <v>9776</v>
      </c>
      <c r="ES3" s="10">
        <f>11414-ES5-(2000*0.125*0)</f>
        <v>10081</v>
      </c>
      <c r="ET3" s="10">
        <f>11387-ET5-(2000*0.125*0)</f>
        <v>11387</v>
      </c>
      <c r="EU3" s="10">
        <f>9519-EU5-(2000*0.125*0)</f>
        <v>8194</v>
      </c>
      <c r="EV3" s="10">
        <f>9516-EV5-(2000*0.125*0)</f>
        <v>8211</v>
      </c>
      <c r="EW3" s="10">
        <f>9684-EW5-(2000*0.125*0)</f>
        <v>8247</v>
      </c>
      <c r="EX3" s="10">
        <f>9684-EX5-(2000*0.125*0)</f>
        <v>8313</v>
      </c>
      <c r="EY3" s="10">
        <f>10039-EY5-(2000*0.125*0)</f>
        <v>8581</v>
      </c>
      <c r="EZ3" s="10">
        <f>10718-EZ5-(2000*0.125*0)</f>
        <v>9093</v>
      </c>
      <c r="FA3" s="10">
        <f>10832-FA5-(2000*0.125*0)</f>
        <v>9201</v>
      </c>
      <c r="FB3" s="10">
        <f>11093-FB5-(2000*0.125*0)</f>
        <v>9494</v>
      </c>
      <c r="FC3" s="10">
        <f>11093-FC5-(2000*0.125*0)</f>
        <v>11093</v>
      </c>
      <c r="FD3" s="10">
        <f>11183-FD5-(2000*0.125*0)</f>
        <v>9597</v>
      </c>
      <c r="FE3" s="10">
        <f>10626-FE5-(2000*0.125*0)</f>
        <v>9112</v>
      </c>
      <c r="FF3" s="10">
        <f>10517-FF5-(2000*0.125*0)</f>
        <v>9010</v>
      </c>
      <c r="FG3" s="10">
        <f>10503-FG5-(2000*0.125*0)</f>
        <v>9079</v>
      </c>
      <c r="FH3" s="10">
        <f>10503-FH5-(2000*0.125*0)</f>
        <v>10503</v>
      </c>
      <c r="FI3" s="10">
        <f>11037-FI5-(2000*0.125*0)</f>
        <v>9549</v>
      </c>
      <c r="FJ3" s="10">
        <f>10569-FJ5-(2000*0.125*0)</f>
        <v>9077</v>
      </c>
      <c r="FK3" s="10">
        <f>10287-FK5-(2000*0.125*0)</f>
        <v>8792</v>
      </c>
      <c r="FL3" s="10">
        <f>10419-FL5-(2000*0.125*0)</f>
        <v>8904</v>
      </c>
      <c r="FM3" s="10">
        <f>10440-FM5-(2000*0.125*0)</f>
        <v>8975</v>
      </c>
      <c r="FN3" s="10">
        <f>10380-FN5-(2000*0.125*0)</f>
        <v>8912</v>
      </c>
      <c r="FO3" s="10">
        <f>9920-FO5-(2000*0.125*0)</f>
        <v>8496</v>
      </c>
      <c r="FP3" s="10">
        <f>9969-FP5-(2000*0.125*0)</f>
        <v>8497</v>
      </c>
      <c r="FQ3" s="10">
        <f>10028-FQ5-(2000*0.125*0)</f>
        <v>8612</v>
      </c>
      <c r="FR3" s="10">
        <f>10252-FR5-(2000*0.125*0)</f>
        <v>8880</v>
      </c>
      <c r="FS3" s="10">
        <f>10286-FS5-(2000*0.125*0)</f>
        <v>8944</v>
      </c>
      <c r="FT3" s="10">
        <f>10286-FT5-(2000*0.125*0)</f>
        <v>10286</v>
      </c>
      <c r="FU3" s="10">
        <f>10036-FU5-(2000*0.125*0)</f>
        <v>8693</v>
      </c>
      <c r="FV3" s="10">
        <f>9968-FV5-(2000*0.125*0)</f>
        <v>8604</v>
      </c>
      <c r="FW3" s="10">
        <f>9299-FW5-(2000*0.125*0)</f>
        <v>7888</v>
      </c>
      <c r="FX3" s="10">
        <f>9496-FX5-(2000*0.125*0)</f>
        <v>8140</v>
      </c>
      <c r="FY3" s="10">
        <f>9496-FY5-(2000*0.125*0)</f>
        <v>9496</v>
      </c>
      <c r="FZ3" s="10">
        <f>9145-FZ5-(2000*0.125*0)</f>
        <v>9145</v>
      </c>
      <c r="GA3" s="10">
        <f>9099-GA5-(2000*0.125*0)</f>
        <v>7704</v>
      </c>
      <c r="GB3" s="10">
        <f>9334-GB5-(2000*0.125*0)</f>
        <v>7956</v>
      </c>
      <c r="GC3" s="10">
        <f>9133-GC5-(2000*0.125*0)</f>
        <v>7666</v>
      </c>
      <c r="GD3" s="10">
        <f>9022-GD5-(2000*0.125*0)</f>
        <v>7646</v>
      </c>
      <c r="GE3" s="10">
        <f>8977-GE5-(2000*0.125*0)</f>
        <v>7584</v>
      </c>
      <c r="GF3" s="10">
        <f>8984-GF5-(2000*0.125*0)</f>
        <v>7624</v>
      </c>
      <c r="GG3" s="10">
        <f>9052-GG5-(2000*0.125*0)</f>
        <v>7639</v>
      </c>
      <c r="GH3" s="10">
        <f>9210-GH5-(2000*0.125*0)</f>
        <v>7888</v>
      </c>
      <c r="GI3" s="10">
        <f>9315-GI5-(2000*0.125*0)</f>
        <v>7993</v>
      </c>
      <c r="GJ3" s="10">
        <f>9086-GJ5-(2000*0.125*0)</f>
        <v>7764</v>
      </c>
      <c r="GK3" s="10">
        <f>9075-GK5-(2000*0.125*0)</f>
        <v>7789</v>
      </c>
      <c r="GL3" s="10">
        <f>9497-GL5-(2000*0.125*0)</f>
        <v>7983</v>
      </c>
      <c r="GM3" s="10">
        <f>8848-GM5-(2000*0.125*0)</f>
        <v>7337</v>
      </c>
      <c r="GN3" s="10">
        <f>8775-GN5-(2000*0.125*0)</f>
        <v>7283</v>
      </c>
      <c r="GO3" s="10">
        <f>8671-GO5-(2000*0.125*0)</f>
        <v>7179</v>
      </c>
      <c r="GP3" s="10">
        <f>8944-GP5-(2000*0.125*0)</f>
        <v>7469</v>
      </c>
      <c r="GQ3" s="10">
        <f>9065-GQ5-(2000*0.125*0)</f>
        <v>7578</v>
      </c>
      <c r="GR3" s="10">
        <f>9277-GR5-(2000*0.125*0)</f>
        <v>7790</v>
      </c>
      <c r="GS3" s="10">
        <f>9345-GS5-(2000*0.125*0)</f>
        <v>7882</v>
      </c>
      <c r="GT3" s="10">
        <f>9633-GT5-(2000*0.125*0)</f>
        <v>8233</v>
      </c>
      <c r="GU3" s="10">
        <f>9394-GU5-(2000*0.125*0)</f>
        <v>8000</v>
      </c>
      <c r="GV3" s="10">
        <f>9696-GV5-(2000*0.125*0)</f>
        <v>8259</v>
      </c>
      <c r="GW3" s="10">
        <f>9552-GW5-(2000*0.125*0)</f>
        <v>8112</v>
      </c>
      <c r="GX3" s="10">
        <f>9684-GX5-(2000*0.125*0)</f>
        <v>8256</v>
      </c>
      <c r="GY3" s="10">
        <f>9421-GY5-(2000*0.125*0)</f>
        <v>8019</v>
      </c>
      <c r="GZ3" s="10">
        <f>9563-GZ5-(2000*0.125*0)</f>
        <v>8161</v>
      </c>
      <c r="HA3" s="10">
        <f>9800-HA5-(2000*0.125*0)</f>
        <v>8409</v>
      </c>
      <c r="HB3" s="10">
        <f>9800-HB5-(2000*0.125*0)</f>
        <v>8409</v>
      </c>
      <c r="HC3" s="10">
        <f>9924-HC5-(2000*0.125*0)</f>
        <v>8539</v>
      </c>
      <c r="HD3" s="10">
        <f>10307-HD5-(2000*0.125*0)</f>
        <v>8916</v>
      </c>
      <c r="HE3" s="10">
        <f>10438-HE5-(2000*0.125*0)</f>
        <v>9057</v>
      </c>
      <c r="HF3" s="10">
        <f>10221-HF5-(2000*0.125*0)</f>
        <v>8848</v>
      </c>
      <c r="HG3" s="10">
        <f>10358-HG5-(2000*0.125*0)</f>
        <v>8823</v>
      </c>
      <c r="HH3" s="10">
        <f>10715-HH5-(2000*0.125*0)</f>
        <v>9111</v>
      </c>
      <c r="HI3" s="10">
        <f>10740-HI5-(2000*0.125*0)</f>
        <v>9135</v>
      </c>
      <c r="HJ3" s="10">
        <f>10868-HJ5-(2000*0.125*0)</f>
        <v>9252</v>
      </c>
      <c r="HK3" s="10">
        <f>10815-HK5-(2000*0.125*0)</f>
        <v>9200</v>
      </c>
      <c r="HL3" s="10">
        <f>10285-HL5-(2000*0.125*0)</f>
        <v>8607</v>
      </c>
      <c r="HM3" s="10">
        <f>10655-HM5-(2000*0.125*0)</f>
        <v>8985</v>
      </c>
      <c r="HN3" s="10">
        <f>10684-HN5-(2000*0.125*0)</f>
        <v>9005</v>
      </c>
      <c r="HO3" s="10">
        <f>9925-HO5</f>
        <v>9182</v>
      </c>
      <c r="HP3" s="10">
        <f>9736-HP5</f>
        <v>8899</v>
      </c>
      <c r="HQ3" s="10">
        <f>9769-HQ5</f>
        <v>8811</v>
      </c>
      <c r="HR3" s="10">
        <f>9722-HR5</f>
        <v>8837</v>
      </c>
      <c r="HS3" s="10">
        <f>9669-HS5</f>
        <v>8611</v>
      </c>
      <c r="HT3" s="10">
        <f>10061-HT5</f>
        <v>8993</v>
      </c>
      <c r="HU3" s="10">
        <f>10429-HU5</f>
        <v>9420</v>
      </c>
      <c r="HV3" s="10">
        <f>10493-HV5</f>
        <v>9493.32</v>
      </c>
      <c r="HW3" s="10">
        <f>9640-HW5</f>
        <v>8796</v>
      </c>
      <c r="HX3" s="10">
        <f>9637-HX5</f>
        <v>8743</v>
      </c>
      <c r="HY3" s="10">
        <f>9745-HY5</f>
        <v>8884</v>
      </c>
      <c r="HZ3" s="10">
        <f>9968-HZ5</f>
        <v>9155</v>
      </c>
      <c r="IA3" s="10">
        <f>9103-IA5</f>
        <v>8340</v>
      </c>
      <c r="IB3" s="10">
        <f>9097-IB5</f>
        <v>8255</v>
      </c>
      <c r="IC3" s="10">
        <f>9253-IC5</f>
        <v>8554</v>
      </c>
      <c r="ID3" s="10">
        <f>9097-ID5</f>
        <v>8351</v>
      </c>
      <c r="IE3" s="10">
        <f>9190-IE5</f>
        <v>8477</v>
      </c>
      <c r="IF3" s="10">
        <f>8464-IF5</f>
        <v>7839</v>
      </c>
      <c r="IG3" s="10">
        <f>8414-IG5</f>
        <v>7739</v>
      </c>
      <c r="IH3" s="10">
        <f>9053-IH5</f>
        <v>8327</v>
      </c>
      <c r="II3" s="10">
        <f>9071-II5</f>
        <v>8263</v>
      </c>
      <c r="IJ3" s="10">
        <f>9142-IJ5</f>
        <v>8387</v>
      </c>
      <c r="IK3" s="10">
        <f>8883-IK5</f>
        <v>8191</v>
      </c>
      <c r="IL3" s="10">
        <f>8887-IL5</f>
        <v>8180</v>
      </c>
      <c r="IM3" s="10">
        <f>9179-IM5</f>
        <v>8472</v>
      </c>
      <c r="IN3" s="10">
        <f>8837-IN5</f>
        <v>8230</v>
      </c>
      <c r="IO3" s="10">
        <f>8721-IO5</f>
        <v>8125</v>
      </c>
      <c r="IP3" s="10">
        <f>8964-IP5</f>
        <v>8368</v>
      </c>
      <c r="IQ3" s="10">
        <f>8963-IQ5</f>
        <v>8391</v>
      </c>
      <c r="IR3" s="10">
        <f>8774-IR5</f>
        <v>8223</v>
      </c>
      <c r="IS3" s="10">
        <f>9360-IS5</f>
        <v>8809</v>
      </c>
      <c r="IT3" s="10">
        <f>9360-IT5</f>
        <v>8809</v>
      </c>
      <c r="IU3" s="10">
        <f>9360-IU5</f>
        <v>8809</v>
      </c>
      <c r="IV3" s="10">
        <f>9360-IV5</f>
        <v>8809</v>
      </c>
      <c r="IW3" s="10">
        <f>9360-IW5</f>
        <v>8809</v>
      </c>
      <c r="IX3" s="10">
        <f>9658-IX5</f>
        <v>9107</v>
      </c>
      <c r="IY3" s="10">
        <f>9708-IY5</f>
        <v>9157</v>
      </c>
      <c r="IZ3" s="10">
        <f>10033-IZ5</f>
        <v>9455</v>
      </c>
      <c r="JA3" s="10">
        <f>10750-JA5</f>
        <v>9984</v>
      </c>
      <c r="JB3" s="10">
        <f>10735-JB5</f>
        <v>9898</v>
      </c>
      <c r="JC3" s="10">
        <f>10925-JC5</f>
        <v>10067</v>
      </c>
      <c r="JD3" s="10">
        <f>11035-JD5</f>
        <v>10005</v>
      </c>
      <c r="JE3" s="10">
        <f>10952-JE5</f>
        <v>9835</v>
      </c>
      <c r="JF3" s="10">
        <f>11047-JF5</f>
        <v>9998</v>
      </c>
      <c r="JG3" s="10">
        <f>11133-JG5</f>
        <v>10082</v>
      </c>
      <c r="JH3" s="10">
        <f>11138-JH5</f>
        <v>10063</v>
      </c>
      <c r="JI3" s="10">
        <f>11089-JI5</f>
        <v>10018</v>
      </c>
      <c r="JJ3" s="10">
        <f>11226-JJ5</f>
        <v>10111</v>
      </c>
      <c r="JK3" s="10">
        <f>11072-JK5</f>
        <v>9968</v>
      </c>
      <c r="JL3" s="10">
        <f>11024-JL5</f>
        <v>9918</v>
      </c>
      <c r="JM3" s="10">
        <f>11170-JM5</f>
        <v>10069</v>
      </c>
      <c r="JN3" s="10">
        <f>11190-JN5</f>
        <v>10058</v>
      </c>
      <c r="JO3" s="10">
        <f>11289-JO5</f>
        <v>10082</v>
      </c>
      <c r="JP3" s="10">
        <f>11479-JP5</f>
        <v>10239</v>
      </c>
      <c r="JQ3" s="10">
        <f>11437-JQ5</f>
        <v>10197</v>
      </c>
      <c r="JR3" s="10">
        <f>11709-JR5</f>
        <v>10473</v>
      </c>
      <c r="JS3" s="10">
        <f>11653-JS5</f>
        <v>10412</v>
      </c>
      <c r="JT3" s="10">
        <f>11660-JT5</f>
        <v>10383</v>
      </c>
      <c r="JU3" s="10">
        <f>11560-JU5</f>
        <v>10228</v>
      </c>
      <c r="JV3" s="10">
        <f>11488-JV5</f>
        <v>10015</v>
      </c>
      <c r="JW3" s="102">
        <f>11691-JW5</f>
        <v>10213</v>
      </c>
      <c r="JX3" s="475"/>
      <c r="JY3" s="24" t="s">
        <v>48</v>
      </c>
      <c r="JZ3" s="6" t="s">
        <v>47</v>
      </c>
      <c r="KA3" s="15"/>
      <c r="KB3" s="6" t="s">
        <v>48</v>
      </c>
      <c r="KC3" s="10">
        <f>11541-KC5</f>
        <v>10057</v>
      </c>
      <c r="KD3" s="10">
        <f>11819-KD5</f>
        <v>10682</v>
      </c>
      <c r="KE3" s="10">
        <f>11102-KE5</f>
        <v>10388</v>
      </c>
      <c r="KF3" s="10">
        <f>10981-KF5</f>
        <v>10187</v>
      </c>
      <c r="KG3" s="10">
        <f>11241-KG5</f>
        <v>10508</v>
      </c>
      <c r="KH3" s="10">
        <f>11156-KH5</f>
        <v>10512</v>
      </c>
      <c r="KI3" s="10">
        <f>10811-KI5</f>
        <v>10194</v>
      </c>
      <c r="KJ3" s="10">
        <f>10636-KJ5</f>
        <v>10013</v>
      </c>
      <c r="KK3" s="122"/>
      <c r="KL3" s="6" t="s">
        <v>48</v>
      </c>
      <c r="KM3" s="10">
        <v>10883</v>
      </c>
      <c r="KN3" s="10">
        <v>10767</v>
      </c>
      <c r="KO3" s="10">
        <v>10614</v>
      </c>
      <c r="KP3" s="10">
        <v>10190</v>
      </c>
      <c r="KQ3" s="10">
        <v>10089</v>
      </c>
      <c r="KR3" s="10">
        <v>10290</v>
      </c>
      <c r="KS3" s="10">
        <v>10267</v>
      </c>
      <c r="KT3" s="10">
        <v>10178</v>
      </c>
      <c r="KU3" s="10">
        <v>9528</v>
      </c>
      <c r="KV3" s="10">
        <v>9364</v>
      </c>
      <c r="KW3" s="10">
        <v>9405</v>
      </c>
      <c r="KX3" s="10">
        <v>9420</v>
      </c>
      <c r="KY3" s="10">
        <v>8837</v>
      </c>
      <c r="KZ3" s="10">
        <v>8725</v>
      </c>
      <c r="LA3" s="10">
        <v>8725</v>
      </c>
      <c r="LB3" s="10">
        <v>8864</v>
      </c>
      <c r="LC3" s="10">
        <v>8735</v>
      </c>
      <c r="LD3" s="10">
        <f>8363-271.68-77</f>
        <v>8014.32</v>
      </c>
      <c r="LE3" s="10">
        <f>8363-271.68-77</f>
        <v>8014.32</v>
      </c>
      <c r="LF3" s="10">
        <f>8407-271.68-77</f>
        <v>8058.32</v>
      </c>
      <c r="LG3" s="10">
        <f>8322-77</f>
        <v>8245</v>
      </c>
      <c r="LH3" s="10">
        <f>8255-77</f>
        <v>8178</v>
      </c>
      <c r="LI3" s="10">
        <f>7991-77</f>
        <v>7914</v>
      </c>
      <c r="LJ3" s="10">
        <f>7991-77</f>
        <v>7914</v>
      </c>
      <c r="LK3" s="10">
        <f>8244-77</f>
        <v>8167</v>
      </c>
      <c r="LL3" s="10">
        <f>7804-77</f>
        <v>7727</v>
      </c>
      <c r="LM3" s="10">
        <f>7782-77</f>
        <v>7705</v>
      </c>
      <c r="LN3" s="10">
        <f>7593-77</f>
        <v>7516</v>
      </c>
      <c r="LO3" s="10">
        <f>7592-77</f>
        <v>7515</v>
      </c>
      <c r="LP3" s="10">
        <f>7718-77</f>
        <v>7641</v>
      </c>
      <c r="LQ3" s="10">
        <f>7708-77</f>
        <v>7631</v>
      </c>
      <c r="LR3" s="10">
        <f>7681-77</f>
        <v>7604</v>
      </c>
      <c r="LS3" s="10">
        <f>7319-77</f>
        <v>7242</v>
      </c>
      <c r="LT3" s="10">
        <f>7319-77</f>
        <v>7242</v>
      </c>
      <c r="LU3" s="10">
        <f>7318-77</f>
        <v>7241</v>
      </c>
      <c r="LV3" s="10">
        <f>7139-77</f>
        <v>7062</v>
      </c>
      <c r="LW3" s="10">
        <f>7139-77</f>
        <v>7062</v>
      </c>
      <c r="LX3" s="10">
        <f>7048-77</f>
        <v>6971</v>
      </c>
      <c r="LY3" s="10">
        <f>7231-77</f>
        <v>7154</v>
      </c>
      <c r="LZ3" s="10">
        <f>7141-77</f>
        <v>7064</v>
      </c>
      <c r="MA3" s="10">
        <f>7137-77</f>
        <v>7060</v>
      </c>
      <c r="MB3" s="10">
        <f>7229-77</f>
        <v>7152</v>
      </c>
      <c r="MC3" s="10">
        <f>7257</f>
        <v>7257</v>
      </c>
      <c r="MD3" s="10">
        <v>6792</v>
      </c>
      <c r="ME3" s="10">
        <v>6792</v>
      </c>
      <c r="MF3" s="10">
        <v>6936</v>
      </c>
      <c r="MG3" s="10">
        <v>6924</v>
      </c>
      <c r="MH3" s="10">
        <v>6858</v>
      </c>
      <c r="MI3" s="10">
        <v>6601</v>
      </c>
      <c r="MJ3" s="10">
        <v>6573</v>
      </c>
      <c r="MK3" s="10">
        <v>6584</v>
      </c>
      <c r="ML3" s="10">
        <f>6542+286</f>
        <v>6828</v>
      </c>
      <c r="MM3" s="10">
        <f>6432+281</f>
        <v>6713</v>
      </c>
      <c r="MN3" s="10">
        <f>6466+281.4</f>
        <v>6747.4</v>
      </c>
      <c r="MO3" s="10">
        <f>6244+281.4</f>
        <v>6525.4</v>
      </c>
      <c r="MP3" s="10">
        <f>6339+281.4</f>
        <v>6620.4</v>
      </c>
      <c r="MQ3" s="10">
        <f>6139+256</f>
        <v>6395</v>
      </c>
      <c r="MR3" s="10">
        <f>6039+256</f>
        <v>6295</v>
      </c>
      <c r="MS3" s="10">
        <f>6124+256</f>
        <v>6380</v>
      </c>
      <c r="MT3" s="10">
        <f>6009+256</f>
        <v>6265</v>
      </c>
      <c r="MU3" s="10">
        <f>5675+242</f>
        <v>5917</v>
      </c>
      <c r="MV3" s="10">
        <f>5587+242</f>
        <v>5829</v>
      </c>
      <c r="MW3" s="10">
        <f>5633+242</f>
        <v>5875</v>
      </c>
      <c r="MX3" s="10">
        <f>5512+242</f>
        <v>5754</v>
      </c>
      <c r="MY3" s="10">
        <f>5438+242</f>
        <v>5680</v>
      </c>
      <c r="MZ3" s="10">
        <f>5419+234</f>
        <v>5653</v>
      </c>
      <c r="NA3" s="10">
        <f>5419+234</f>
        <v>5653</v>
      </c>
      <c r="NB3" s="10">
        <f>5573+234</f>
        <v>5807</v>
      </c>
      <c r="NC3" s="10">
        <f>5672+234</f>
        <v>5906</v>
      </c>
      <c r="ND3" s="10">
        <f>5588+234</f>
        <v>5822</v>
      </c>
      <c r="NE3" s="10">
        <f>5294+226</f>
        <v>5520</v>
      </c>
      <c r="NF3" s="10">
        <f>5273+226</f>
        <v>5499</v>
      </c>
      <c r="NG3" s="10">
        <f>5311+226</f>
        <v>5537</v>
      </c>
      <c r="NH3" s="10">
        <f>5324+219.45</f>
        <v>5543.45</v>
      </c>
      <c r="NI3" s="10">
        <f>5242+217</f>
        <v>5459</v>
      </c>
      <c r="NJ3" s="10">
        <f>5239+217</f>
        <v>5456</v>
      </c>
      <c r="NK3" s="10">
        <f>5408+217</f>
        <v>5625</v>
      </c>
      <c r="NL3" s="10">
        <f>5433+217</f>
        <v>5650</v>
      </c>
      <c r="NM3" s="10">
        <f>5664+217</f>
        <v>5881</v>
      </c>
      <c r="NN3" s="10">
        <f>5559+204.985</f>
        <v>5763.9849999999997</v>
      </c>
      <c r="NO3" s="10">
        <f>5559+204.985</f>
        <v>5763.9849999999997</v>
      </c>
      <c r="NP3" s="10">
        <f>5802+204.985</f>
        <v>6006.9849999999997</v>
      </c>
      <c r="NQ3" s="10">
        <f>5917+204.985</f>
        <v>6121.9849999999997</v>
      </c>
      <c r="NR3" s="10">
        <f>5996+204.985</f>
        <v>6200.9849999999997</v>
      </c>
      <c r="NS3" s="10">
        <f>5878+192.225</f>
        <v>6070.2250000000004</v>
      </c>
      <c r="NT3" s="10">
        <f>5879+192.225</f>
        <v>6071.2250000000004</v>
      </c>
      <c r="NU3" s="10">
        <f>6066+192.225</f>
        <v>6258.2250000000004</v>
      </c>
      <c r="NV3" s="10">
        <f>6037+192.225</f>
        <v>6229.2250000000004</v>
      </c>
      <c r="NW3" s="10">
        <f>6104+192.225</f>
        <v>6296.2250000000004</v>
      </c>
      <c r="NX3" s="10">
        <f>5904+188.1</f>
        <v>6092.1</v>
      </c>
      <c r="NY3" s="10">
        <f>5904+188.1</f>
        <v>6092.1</v>
      </c>
      <c r="NZ3" s="10">
        <f>5933+188.1</f>
        <v>6121.1</v>
      </c>
      <c r="OA3" s="10">
        <f>6008+188.1</f>
        <v>6196.1</v>
      </c>
      <c r="OB3" s="10">
        <f>5911+164.975</f>
        <v>6075.9750000000004</v>
      </c>
      <c r="OC3" s="10">
        <f>5911+164.975</f>
        <v>6075.9750000000004</v>
      </c>
      <c r="OD3" s="10">
        <f>6125+164.975</f>
        <v>6289.9750000000004</v>
      </c>
      <c r="OE3" s="10">
        <f>6202+164.975</f>
        <v>6366.9750000000004</v>
      </c>
      <c r="OF3" s="10">
        <f>6277+164.975</f>
        <v>6441.9750000000004</v>
      </c>
      <c r="OG3" s="10">
        <f>5962+146.275</f>
        <v>6108.2749999999996</v>
      </c>
      <c r="OH3" s="10">
        <f>5972+146.275</f>
        <v>6118.2749999999996</v>
      </c>
      <c r="OI3" s="10">
        <f>6077+146.275</f>
        <v>6223.2749999999996</v>
      </c>
      <c r="OJ3" s="10">
        <f>6280+146.275</f>
        <v>6426.2749999999996</v>
      </c>
      <c r="OK3" s="10">
        <f>6766+114.4</f>
        <v>6880.4</v>
      </c>
      <c r="OL3" s="10">
        <f>6788+114.4</f>
        <v>6902.4</v>
      </c>
      <c r="OM3" s="10">
        <f>6896+114.4</f>
        <v>7010.4</v>
      </c>
      <c r="ON3" s="10">
        <f>6943+114.025</f>
        <v>7057.0249999999996</v>
      </c>
      <c r="OO3" s="10">
        <f>6907+114.025</f>
        <v>7021.0249999999996</v>
      </c>
      <c r="OP3" s="10">
        <f>7005.08+114.025</f>
        <v>7119.1049999999996</v>
      </c>
      <c r="OQ3" s="10">
        <f>6888.75+114.025</f>
        <v>7002.7749999999996</v>
      </c>
      <c r="OR3" s="10">
        <f>6709.91+114.025</f>
        <v>6823.9349999999995</v>
      </c>
      <c r="OS3" s="10">
        <f>6333.34+104.05</f>
        <v>6437.39</v>
      </c>
      <c r="OT3" s="10">
        <f>6305.81+104.05</f>
        <v>6409.8600000000006</v>
      </c>
      <c r="OU3" s="10">
        <f>6359.22+104.05</f>
        <v>6463.27</v>
      </c>
      <c r="OV3" s="10">
        <f>6328.92+104.05</f>
        <v>6432.97</v>
      </c>
      <c r="OW3" s="10">
        <f>66474.45</f>
        <v>66474.45</v>
      </c>
      <c r="OX3" s="10">
        <f>6702.73</f>
        <v>6702.73</v>
      </c>
      <c r="OY3" s="10">
        <f>6687.6</f>
        <v>6687.6</v>
      </c>
      <c r="OZ3" s="10">
        <f>6819.93</f>
        <v>6819.93</v>
      </c>
      <c r="PA3" s="10">
        <f>6854.31</f>
        <v>6854.31</v>
      </c>
      <c r="PB3" s="10">
        <f>6875.02</f>
        <v>6875.02</v>
      </c>
      <c r="PC3" s="10">
        <f>6500.095</f>
        <v>6500.0950000000003</v>
      </c>
      <c r="PD3" s="10">
        <f>6500.095</f>
        <v>6500.0950000000003</v>
      </c>
      <c r="PE3" s="10">
        <f>6586.575</f>
        <v>6586.5749999999998</v>
      </c>
      <c r="PF3" s="10">
        <f>6579.535</f>
        <v>6579.5349999999999</v>
      </c>
      <c r="PG3" s="10">
        <f>6701.565</f>
        <v>6701.5649999999996</v>
      </c>
      <c r="PH3" s="10">
        <f>6732.43</f>
        <v>6732.43</v>
      </c>
      <c r="PI3" s="10">
        <f>6721.15</f>
        <v>6721.15</v>
      </c>
      <c r="PJ3" s="10">
        <f>6770.52</f>
        <v>6770.52</v>
      </c>
      <c r="PK3" s="10">
        <f>6776.3</f>
        <v>6776.3</v>
      </c>
      <c r="PL3" s="10">
        <f>7181.475</f>
        <v>7181.4750000000004</v>
      </c>
      <c r="PM3" s="10">
        <f>6997.715</f>
        <v>6997.7150000000001</v>
      </c>
      <c r="PN3" s="10">
        <f>7210.465</f>
        <v>7210.4650000000001</v>
      </c>
      <c r="PO3" s="10">
        <f>7192.365</f>
        <v>7192.3649999999998</v>
      </c>
      <c r="PP3" s="10">
        <f>7512.115</f>
        <v>7512.1149999999998</v>
      </c>
      <c r="PQ3" s="10">
        <f>7678.065</f>
        <v>7678.0649999999996</v>
      </c>
      <c r="PR3" s="10">
        <f>7800.425</f>
        <v>7800.4250000000002</v>
      </c>
      <c r="PS3" s="10">
        <f>8050.425</f>
        <v>8050.4250000000002</v>
      </c>
      <c r="PT3" s="10">
        <f>7536.305</f>
        <v>7536.3050000000003</v>
      </c>
      <c r="PU3" s="10">
        <f>7781.785</f>
        <v>7781.7849999999999</v>
      </c>
      <c r="PV3" s="10">
        <f>7894.635</f>
        <v>7894.6350000000002</v>
      </c>
      <c r="PW3" s="10">
        <f>7662.915</f>
        <v>7662.915</v>
      </c>
      <c r="PX3" s="10">
        <f>7468.88</f>
        <v>7468.88</v>
      </c>
      <c r="PY3" s="10">
        <f>7468.88</f>
        <v>7468.88</v>
      </c>
      <c r="PZ3" s="10">
        <f>7640.9</f>
        <v>7640.9</v>
      </c>
      <c r="QA3" s="10">
        <f>7713.16</f>
        <v>7713.16</v>
      </c>
      <c r="QB3" s="10">
        <f>7803.61</f>
        <v>7803.61</v>
      </c>
      <c r="QC3" s="10">
        <f>7351.795</f>
        <v>7351.7950000000001</v>
      </c>
      <c r="QD3" s="10">
        <f>7337.285</f>
        <v>7337.2849999999999</v>
      </c>
      <c r="QE3" s="10">
        <f>7502.385</f>
        <v>7502.3850000000002</v>
      </c>
      <c r="QF3" s="10">
        <f>7320.515</f>
        <v>7320.5150000000003</v>
      </c>
      <c r="QG3" s="10">
        <f>7153.475</f>
        <v>7153.4750000000004</v>
      </c>
      <c r="QH3" s="10">
        <f>7153.475</f>
        <v>7153.4750000000004</v>
      </c>
      <c r="QI3" s="10">
        <f>7435.305</f>
        <v>7435.3050000000003</v>
      </c>
      <c r="QJ3" s="10">
        <f>7323.035</f>
        <v>7323.0349999999999</v>
      </c>
      <c r="QK3" s="10">
        <f>7298.185</f>
        <v>7298.1850000000004</v>
      </c>
      <c r="QL3" s="10">
        <f>7295.405</f>
        <v>7295.4049999999997</v>
      </c>
      <c r="QM3" s="10">
        <f>7485.905</f>
        <v>7485.9049999999997</v>
      </c>
      <c r="QN3" s="10">
        <f>7424.885</f>
        <v>7424.8850000000002</v>
      </c>
      <c r="QO3" s="10">
        <f>7520.545</f>
        <v>7520.5450000000001</v>
      </c>
      <c r="QP3" s="10">
        <f>7768.58</f>
        <v>7768.58</v>
      </c>
      <c r="QQ3" s="10">
        <f>7768.58</f>
        <v>7768.58</v>
      </c>
      <c r="QR3" s="10">
        <f>8009.14</f>
        <v>8009.14</v>
      </c>
      <c r="QS3" s="10">
        <f>7952.5</f>
        <v>7952.5</v>
      </c>
      <c r="QT3" s="10">
        <f>7955.91</f>
        <v>7955.91</v>
      </c>
      <c r="QU3" s="10">
        <f>7894.285</f>
        <v>7894.2849999999999</v>
      </c>
      <c r="QV3" s="10">
        <f>7894.285</f>
        <v>7894.2849999999999</v>
      </c>
      <c r="QW3" s="10">
        <f>8023.865</f>
        <v>8023.8649999999998</v>
      </c>
      <c r="QX3" s="10">
        <f>7932.135</f>
        <v>7932.1350000000002</v>
      </c>
      <c r="QY3" s="10">
        <f>7808.995</f>
        <v>7808.9949999999999</v>
      </c>
      <c r="QZ3" s="10">
        <f>7808.995</f>
        <v>7808.9949999999999</v>
      </c>
      <c r="RA3" s="10">
        <f>7995.165</f>
        <v>7995.165</v>
      </c>
      <c r="RB3" s="10">
        <f>8172.165</f>
        <v>8172.165</v>
      </c>
      <c r="RC3" s="10">
        <f>8444.295</f>
        <v>8444.2950000000001</v>
      </c>
      <c r="RD3" s="10">
        <f>8797.07</f>
        <v>8797.07</v>
      </c>
      <c r="RE3" s="10">
        <f>8797.07</f>
        <v>8797.07</v>
      </c>
      <c r="RF3" s="10">
        <f>9197.24</f>
        <v>9197.24</v>
      </c>
      <c r="RG3" s="10">
        <f>9299.67</f>
        <v>9299.67</v>
      </c>
      <c r="RH3" s="10">
        <f>9376.01</f>
        <v>9376.01</v>
      </c>
      <c r="RI3" s="10">
        <f>9197.58</f>
        <v>9197.58</v>
      </c>
      <c r="RJ3" s="10">
        <f>9197.58</f>
        <v>9197.58</v>
      </c>
      <c r="RK3" s="10">
        <f>9501.11</f>
        <v>9501.11</v>
      </c>
      <c r="RL3" s="10">
        <f>9685.23</f>
        <v>9685.23</v>
      </c>
      <c r="RM3" s="10">
        <f>9710.32</f>
        <v>9710.32</v>
      </c>
      <c r="RN3" s="10">
        <f>9778.63</f>
        <v>9778.6299999999992</v>
      </c>
      <c r="RO3" s="10">
        <f>9512.63</f>
        <v>9512.6299999999992</v>
      </c>
      <c r="RP3" s="10">
        <f>9692.55</f>
        <v>9692.5499999999993</v>
      </c>
      <c r="RQ3" s="10">
        <f>9733.68</f>
        <v>9733.68</v>
      </c>
      <c r="RR3" s="10">
        <f>9739.18</f>
        <v>9739.18</v>
      </c>
      <c r="RS3" s="10">
        <f>9876.78</f>
        <v>9876.7800000000007</v>
      </c>
      <c r="RT3" s="10">
        <f>9876.78</f>
        <v>9876.7800000000007</v>
      </c>
      <c r="RU3" s="10">
        <f>10038.72</f>
        <v>10038.719999999999</v>
      </c>
      <c r="RV3" s="10">
        <f>10010.54</f>
        <v>10010.540000000001</v>
      </c>
      <c r="RW3" s="10">
        <f>9851.2</f>
        <v>9851.2000000000007</v>
      </c>
      <c r="RX3" s="10">
        <f>10102.105</f>
        <v>10102.105</v>
      </c>
      <c r="RY3" s="10">
        <f>10097.985</f>
        <v>10097.985000000001</v>
      </c>
      <c r="RZ3" s="10">
        <f>10195.845</f>
        <v>10195.844999999999</v>
      </c>
      <c r="SA3" s="10">
        <f>10133.405</f>
        <v>10133.405000000001</v>
      </c>
      <c r="SB3" s="10">
        <f>10156.455</f>
        <v>10156.455</v>
      </c>
      <c r="SC3" s="10">
        <f>10013.29</f>
        <v>10013.290000000001</v>
      </c>
      <c r="SD3" s="10">
        <f>10013.29</f>
        <v>10013.290000000001</v>
      </c>
      <c r="SE3" s="10">
        <f>10290</f>
        <v>10290</v>
      </c>
      <c r="SF3" s="10">
        <f>10290</f>
        <v>10290</v>
      </c>
      <c r="SG3" s="10">
        <f>10385.93</f>
        <v>10385.93</v>
      </c>
      <c r="SH3" s="10">
        <v>10491.98</v>
      </c>
      <c r="SI3" s="10">
        <v>10484.009999999998</v>
      </c>
      <c r="SJ3" s="10">
        <v>9935.8049999999985</v>
      </c>
      <c r="SK3" s="10">
        <v>9935.8049999999985</v>
      </c>
      <c r="SL3" s="10">
        <v>10084.484999999999</v>
      </c>
      <c r="SM3" s="10">
        <v>9966.3049999999985</v>
      </c>
      <c r="SN3" s="10">
        <v>9705.244999999999</v>
      </c>
      <c r="SO3" s="10">
        <v>9705.244999999999</v>
      </c>
      <c r="SP3" s="10">
        <v>9764.0549999999985</v>
      </c>
      <c r="SQ3" s="10">
        <v>9790.8249999999989</v>
      </c>
      <c r="SR3" s="10">
        <v>9652.5549999999985</v>
      </c>
      <c r="SS3" s="10">
        <v>8962.125</v>
      </c>
      <c r="ST3" s="10">
        <v>8952.2749999999996</v>
      </c>
      <c r="SU3" s="10">
        <v>9138.0349999999999</v>
      </c>
      <c r="SV3" s="10">
        <v>9146.3049999999985</v>
      </c>
      <c r="SW3" s="10">
        <v>9237.5149999999994</v>
      </c>
      <c r="SX3" s="10">
        <v>9288.0199999999986</v>
      </c>
      <c r="SY3" s="10">
        <v>9288.0199999999986</v>
      </c>
      <c r="SZ3" s="10">
        <v>9383.3499999999985</v>
      </c>
      <c r="TA3" s="10">
        <v>9371.59</v>
      </c>
      <c r="TB3" s="10">
        <v>9354.92</v>
      </c>
      <c r="TC3" s="10">
        <v>9203.9049999999988</v>
      </c>
      <c r="TD3" s="10">
        <v>9279.1593999999968</v>
      </c>
      <c r="TE3" s="10">
        <v>8939.8293999999969</v>
      </c>
      <c r="TF3" s="10">
        <v>8978.8536000000022</v>
      </c>
      <c r="TG3" s="10">
        <v>9309.6106999999993</v>
      </c>
      <c r="TH3" s="10">
        <v>9463.6947999999993</v>
      </c>
      <c r="TI3" s="10">
        <v>9552.9889000000021</v>
      </c>
      <c r="TJ3" s="10">
        <v>9855.6967999999997</v>
      </c>
      <c r="TK3" s="10">
        <v>9834.6804000000011</v>
      </c>
      <c r="TL3" s="10">
        <v>9662.5083999999988</v>
      </c>
      <c r="TM3" s="10">
        <v>9744.0672999999988</v>
      </c>
      <c r="TN3" s="10">
        <v>9811.7062999999998</v>
      </c>
      <c r="TO3" s="10">
        <v>9733.2892999999967</v>
      </c>
      <c r="TP3" s="10">
        <v>9664.8064000000013</v>
      </c>
      <c r="TQ3" s="10">
        <v>9344.4488999999994</v>
      </c>
      <c r="TR3" s="10">
        <v>9557.3628999999983</v>
      </c>
      <c r="TS3" s="10">
        <v>9527.4107999999997</v>
      </c>
      <c r="TT3" s="10">
        <v>9643.9287999999979</v>
      </c>
      <c r="TU3" s="10">
        <v>9829.4649000000009</v>
      </c>
      <c r="TV3" s="10">
        <v>9535.6278999999995</v>
      </c>
      <c r="TW3" s="10">
        <v>9699.8848999999973</v>
      </c>
      <c r="TX3" s="10">
        <v>9661.4498000000003</v>
      </c>
      <c r="TY3" s="10">
        <v>9383.5158999999985</v>
      </c>
      <c r="TZ3" s="10">
        <v>9296.8639000000003</v>
      </c>
      <c r="UA3" s="10">
        <v>9460.3168999999998</v>
      </c>
      <c r="UB3" s="10">
        <v>9521.7468999999983</v>
      </c>
      <c r="UC3" s="10">
        <v>9492.3979000000018</v>
      </c>
      <c r="UD3" s="10">
        <v>9623.2689000000009</v>
      </c>
      <c r="UE3" s="10">
        <v>9659.7817999999988</v>
      </c>
      <c r="UF3" s="10">
        <v>9878.6969000000008</v>
      </c>
      <c r="UG3" s="10">
        <v>9920.4578000000001</v>
      </c>
      <c r="UH3" s="10">
        <v>9925.8359999999993</v>
      </c>
      <c r="UI3" s="10">
        <v>9996.0820000000003</v>
      </c>
      <c r="UJ3" s="10">
        <v>9888.2546999999977</v>
      </c>
      <c r="UK3" s="10">
        <v>10038.370799999999</v>
      </c>
      <c r="UL3" s="10">
        <v>10072.143099999999</v>
      </c>
      <c r="UM3" s="10">
        <v>9854.4521000000022</v>
      </c>
      <c r="UN3" s="10">
        <v>9995.7470999999987</v>
      </c>
      <c r="UO3" s="10">
        <v>9882.4145999999982</v>
      </c>
      <c r="UP3" s="10">
        <v>10110.9476</v>
      </c>
      <c r="UQ3" s="10">
        <v>10172.614599999999</v>
      </c>
      <c r="UR3" s="10">
        <v>9904.6908999999996</v>
      </c>
      <c r="US3" s="10">
        <v>9770.3598999999977</v>
      </c>
      <c r="UT3" s="10">
        <v>9816.3209000000006</v>
      </c>
      <c r="UU3" s="10">
        <v>9742.0659999999971</v>
      </c>
      <c r="UV3" s="10">
        <v>9726.2994000000017</v>
      </c>
      <c r="UW3" s="10">
        <v>9639.0703000000012</v>
      </c>
      <c r="UX3" s="10">
        <v>9272.4282000000003</v>
      </c>
      <c r="UY3" s="10">
        <v>9504.5150999999987</v>
      </c>
      <c r="UZ3" s="10">
        <v>9593.1502</v>
      </c>
      <c r="VA3" s="10">
        <v>9638.7482</v>
      </c>
      <c r="VB3" s="10">
        <v>9738.2753000000012</v>
      </c>
      <c r="VC3" s="10">
        <v>9565.4919999999984</v>
      </c>
      <c r="VD3" s="10">
        <v>9612.6865999999991</v>
      </c>
      <c r="VE3" s="10">
        <v>9590</v>
      </c>
      <c r="VF3" s="10">
        <v>9705</v>
      </c>
      <c r="VG3" s="10">
        <v>9619.827299999999</v>
      </c>
      <c r="VH3" s="10">
        <v>9773.2410999999975</v>
      </c>
      <c r="VI3" s="10">
        <v>9640.2830999999987</v>
      </c>
      <c r="VJ3" s="10">
        <v>9644.6479999999992</v>
      </c>
      <c r="VK3" s="10">
        <v>9591.7775000000001</v>
      </c>
      <c r="VL3" s="10">
        <v>9217.2245000000021</v>
      </c>
      <c r="VM3" s="10">
        <v>9386.1964999999982</v>
      </c>
      <c r="VN3" s="10">
        <v>9355.9555000000018</v>
      </c>
      <c r="VO3" s="10">
        <v>9452.8444999999992</v>
      </c>
      <c r="VP3" s="10">
        <v>9416.7068999999992</v>
      </c>
      <c r="VQ3" s="10">
        <v>8924.1458999999995</v>
      </c>
      <c r="VR3" s="10">
        <v>9078.4128999999994</v>
      </c>
      <c r="VS3" s="10">
        <v>8964.9208999999992</v>
      </c>
      <c r="VT3" s="10">
        <v>9072.0398999999998</v>
      </c>
      <c r="VU3" s="10">
        <v>8785.1257999999998</v>
      </c>
      <c r="VV3" s="10">
        <v>8915.5227999999988</v>
      </c>
      <c r="VW3" s="10">
        <v>9002.0288</v>
      </c>
      <c r="VX3" s="10">
        <v>9083.7757999999994</v>
      </c>
      <c r="VY3" s="10">
        <v>9290.6787999999997</v>
      </c>
      <c r="VZ3" s="10">
        <v>9340.8507999999983</v>
      </c>
      <c r="WA3" s="10">
        <v>9478.4188000000013</v>
      </c>
      <c r="WB3" s="10">
        <v>9651.9177999999993</v>
      </c>
      <c r="WC3" s="10">
        <v>9705.3768</v>
      </c>
      <c r="WD3" s="10">
        <v>9769.8048999999992</v>
      </c>
      <c r="WE3" s="10">
        <v>9468.1679000000004</v>
      </c>
      <c r="WF3" s="10">
        <v>9772.9258999999984</v>
      </c>
      <c r="WG3" s="10">
        <v>9919.4549000000006</v>
      </c>
      <c r="WH3" s="10">
        <v>9901.0319</v>
      </c>
      <c r="WI3" s="10">
        <v>9629.1318999999985</v>
      </c>
      <c r="WJ3" s="10">
        <v>9736.2440000000006</v>
      </c>
      <c r="WK3" s="10">
        <v>9845.1530000000002</v>
      </c>
      <c r="WL3" s="10">
        <v>9759.1669999999995</v>
      </c>
      <c r="WM3" s="10">
        <v>9824.5909999999985</v>
      </c>
      <c r="WN3" s="10">
        <v>9485.8355000000029</v>
      </c>
      <c r="WO3" s="10">
        <v>9709.1034999999993</v>
      </c>
      <c r="WP3" s="10">
        <v>9764.5695000000032</v>
      </c>
      <c r="WQ3" s="10">
        <v>9825.3414999999986</v>
      </c>
      <c r="WR3" s="10">
        <v>9916.5704999999998</v>
      </c>
      <c r="WS3" s="10">
        <v>9444.5737999999983</v>
      </c>
      <c r="WT3" s="10">
        <v>9627.3197999999993</v>
      </c>
      <c r="WU3" s="10">
        <v>9695.6987999999965</v>
      </c>
      <c r="WV3" s="10">
        <v>9723.8907999999992</v>
      </c>
      <c r="WW3" s="10">
        <v>9858.7366999999995</v>
      </c>
      <c r="WX3" s="10">
        <v>9786.424799999997</v>
      </c>
      <c r="WY3" s="10">
        <v>9801.8858000000037</v>
      </c>
      <c r="WZ3" s="10">
        <v>10056.6438</v>
      </c>
      <c r="XA3" s="10">
        <v>9870.130799999999</v>
      </c>
      <c r="XB3" s="10">
        <v>10181.495299999999</v>
      </c>
      <c r="XC3" s="10">
        <v>10197.408299999999</v>
      </c>
      <c r="XD3" s="10">
        <v>10188.085300000001</v>
      </c>
      <c r="XE3" s="10">
        <v>10037.381299999999</v>
      </c>
      <c r="XF3" s="10">
        <v>9509.0512999999992</v>
      </c>
      <c r="XG3" s="10">
        <v>9598.8153000000002</v>
      </c>
      <c r="XH3" s="10">
        <v>9691.1602999999959</v>
      </c>
      <c r="XI3" s="10">
        <v>9697.0401999999976</v>
      </c>
      <c r="XJ3" s="10">
        <v>9777.5922999999984</v>
      </c>
      <c r="XK3" s="10">
        <v>9889.5473000000002</v>
      </c>
      <c r="XL3" s="10">
        <v>10282.681299999998</v>
      </c>
      <c r="XM3" s="10">
        <v>10305.285299999996</v>
      </c>
      <c r="XN3" s="10">
        <v>10574.214300000001</v>
      </c>
      <c r="XO3" s="10">
        <v>10539.783699999998</v>
      </c>
      <c r="XP3" s="10">
        <v>10457.6762</v>
      </c>
      <c r="XQ3" s="10">
        <v>10671.409299999999</v>
      </c>
      <c r="XR3" s="10">
        <v>10774.8223</v>
      </c>
      <c r="XS3" s="10">
        <v>10320.579299999999</v>
      </c>
      <c r="XT3" s="10">
        <v>10166.924200000001</v>
      </c>
      <c r="XU3" s="10">
        <v>10655.367299999998</v>
      </c>
      <c r="XV3" s="10">
        <v>10642.2353</v>
      </c>
      <c r="XW3" s="10">
        <v>10693.980300000001</v>
      </c>
      <c r="XX3" s="10">
        <v>10614.3843</v>
      </c>
      <c r="XY3" s="10">
        <v>10338.4483</v>
      </c>
      <c r="XZ3" s="10">
        <v>10463.316299999999</v>
      </c>
      <c r="YA3" s="10">
        <v>10368.919299999998</v>
      </c>
      <c r="YB3" s="10">
        <v>10181.612000000001</v>
      </c>
      <c r="YC3" s="10">
        <v>10169.314</v>
      </c>
      <c r="YD3" s="10">
        <v>9720.8639999999978</v>
      </c>
      <c r="YE3" s="10">
        <v>9862.2469999999976</v>
      </c>
      <c r="YF3" s="10">
        <v>9910.6449999999986</v>
      </c>
      <c r="YG3" s="10">
        <v>9975.6139999999996</v>
      </c>
      <c r="YH3" s="10">
        <v>10011.626899999999</v>
      </c>
      <c r="YI3" s="10">
        <v>10032.854499999999</v>
      </c>
      <c r="YJ3" s="10">
        <v>10248.719499999999</v>
      </c>
      <c r="YK3" s="10">
        <v>10279.621999999999</v>
      </c>
      <c r="YL3" s="10">
        <v>10529.23</v>
      </c>
      <c r="YM3" s="10">
        <v>10704.321</v>
      </c>
      <c r="YN3" s="10">
        <v>10798.517899999999</v>
      </c>
      <c r="YO3" s="10">
        <v>11039.217000000001</v>
      </c>
      <c r="YP3" s="10">
        <v>11071.359200000001</v>
      </c>
      <c r="YQ3" s="10">
        <v>11126.017199999998</v>
      </c>
      <c r="YR3" s="10">
        <v>11488.253999999999</v>
      </c>
      <c r="YS3" s="10">
        <v>11420.797999999999</v>
      </c>
      <c r="YT3" s="10">
        <v>11261.448099999998</v>
      </c>
      <c r="YU3" s="10">
        <v>11209.596000000003</v>
      </c>
      <c r="YV3" s="10">
        <v>10898.891</v>
      </c>
      <c r="YW3" s="10">
        <v>11149.672</v>
      </c>
      <c r="YX3" s="10">
        <v>11245.362999999999</v>
      </c>
      <c r="YY3" s="10">
        <v>11376.527999999998</v>
      </c>
      <c r="YZ3" s="10">
        <v>11416.812900000003</v>
      </c>
      <c r="ZA3" s="10">
        <v>11486.291899999998</v>
      </c>
      <c r="ZB3" s="10">
        <v>11746.656900000002</v>
      </c>
      <c r="ZC3" s="10">
        <v>11678.7009</v>
      </c>
      <c r="ZD3" s="10">
        <v>11535.205900000001</v>
      </c>
      <c r="ZE3" s="10">
        <v>11135.673999999999</v>
      </c>
      <c r="ZF3" s="10">
        <v>11258.198999999999</v>
      </c>
      <c r="ZG3" s="10">
        <v>11623.648000000001</v>
      </c>
      <c r="ZH3" s="10">
        <v>11542.011</v>
      </c>
      <c r="ZI3" s="10">
        <v>11720.872999999998</v>
      </c>
      <c r="ZJ3" s="10">
        <v>11573.7029</v>
      </c>
      <c r="ZK3" s="10">
        <v>11820.688999999998</v>
      </c>
      <c r="ZL3" s="10">
        <v>11914.117999999999</v>
      </c>
      <c r="ZM3" s="10">
        <v>11958.913999999997</v>
      </c>
      <c r="ZN3" s="10">
        <v>11865.203</v>
      </c>
      <c r="ZO3" s="10">
        <v>11620.151900000001</v>
      </c>
      <c r="ZP3" s="10">
        <v>11762.883</v>
      </c>
      <c r="ZQ3" s="10">
        <v>11803.466700000001</v>
      </c>
      <c r="ZR3" s="10">
        <v>11847.7518</v>
      </c>
      <c r="ZS3" s="10">
        <v>11346.023800000003</v>
      </c>
      <c r="ZT3" s="10">
        <v>11544.441800000001</v>
      </c>
      <c r="ZU3" s="10">
        <v>11462.436800000001</v>
      </c>
      <c r="ZV3" s="10">
        <v>11550.520800000004</v>
      </c>
      <c r="ZW3" s="10">
        <v>11627.614799999999</v>
      </c>
      <c r="ZX3" s="10">
        <v>12125.502799999998</v>
      </c>
      <c r="ZY3" s="10">
        <v>12171.846</v>
      </c>
      <c r="ZZ3" s="10">
        <v>12361.385999999999</v>
      </c>
      <c r="AAA3" s="10">
        <v>12470.395900000001</v>
      </c>
      <c r="AAB3" s="10">
        <v>12682.589199999999</v>
      </c>
      <c r="AAC3" s="10">
        <v>12656.6032</v>
      </c>
      <c r="AAD3" s="10">
        <v>12611.198200000001</v>
      </c>
      <c r="AAE3" s="10">
        <v>12695.432200000001</v>
      </c>
      <c r="AAF3" s="10">
        <v>12643.123899999999</v>
      </c>
      <c r="AAG3" s="10">
        <v>12846.862000000001</v>
      </c>
      <c r="AAH3" s="10">
        <v>12683.7909</v>
      </c>
      <c r="AAI3" s="10">
        <v>12732.587000000001</v>
      </c>
      <c r="AAJ3" s="10">
        <v>12792.666999999998</v>
      </c>
      <c r="AAK3" s="10">
        <v>12483.389000000001</v>
      </c>
      <c r="AAL3" s="10">
        <v>12700.251999999999</v>
      </c>
      <c r="AAM3" s="10">
        <v>12684.870000000003</v>
      </c>
      <c r="AAN3" s="10">
        <v>12451.420899999997</v>
      </c>
      <c r="AAO3" s="10">
        <v>12613.703000000001</v>
      </c>
      <c r="AAP3" s="10">
        <v>12052.250999999998</v>
      </c>
      <c r="AAQ3" s="10">
        <v>12254.697700000001</v>
      </c>
      <c r="AAR3" s="10">
        <v>12275.6157</v>
      </c>
      <c r="AAS3" s="10">
        <v>12221.448</v>
      </c>
      <c r="AAT3" s="10">
        <v>12126.609999999999</v>
      </c>
      <c r="AAU3" s="10">
        <v>12289.761999999999</v>
      </c>
      <c r="AAV3" s="10">
        <v>12405.226000000002</v>
      </c>
      <c r="AAW3" s="10">
        <v>12387.772799999999</v>
      </c>
      <c r="AAX3" s="10">
        <v>12255.104800000001</v>
      </c>
      <c r="AAY3" s="10">
        <v>11702.216</v>
      </c>
      <c r="AAZ3" s="10">
        <v>11805.190999999999</v>
      </c>
      <c r="ABA3" s="10">
        <v>11641.243</v>
      </c>
      <c r="ABB3" s="10">
        <v>11467.475999999999</v>
      </c>
      <c r="ABC3" s="10">
        <v>11499.745999999999</v>
      </c>
      <c r="ABD3" s="10">
        <v>10792.294</v>
      </c>
      <c r="ABF3" s="87" t="s">
        <v>68</v>
      </c>
      <c r="ABG3" s="10">
        <v>11.413231199999945</v>
      </c>
      <c r="ABH3" s="125">
        <f t="shared" si="0"/>
        <v>0.11413231199999946</v>
      </c>
      <c r="ABI3" s="126">
        <f>IF((ABN3*0.9)-ABG3&lt;0,0,(ABN3*0.9)-ABG3)</f>
        <v>78.586768800000058</v>
      </c>
      <c r="ABJ3" s="127"/>
      <c r="ABK3" s="10">
        <f t="shared" si="1"/>
        <v>83.586768800000058</v>
      </c>
      <c r="ABL3" s="87" t="s">
        <v>68</v>
      </c>
      <c r="ABM3" s="8" t="s">
        <v>47</v>
      </c>
      <c r="ABN3" s="7">
        <v>100</v>
      </c>
      <c r="ABO3" s="7"/>
      <c r="ABP3" t="s">
        <v>113</v>
      </c>
      <c r="ABZ3" s="85" t="s">
        <v>52</v>
      </c>
      <c r="ACA3" s="10">
        <v>623</v>
      </c>
      <c r="ACB3" s="9">
        <f>IF((ACA3/ACH3)&gt;1,1,(ACA3/ACH3))</f>
        <v>0.34611111111111109</v>
      </c>
      <c r="ACC3" s="45">
        <f>IF((ACH3*0.9)-ACA3&lt;0,0,(ACH3*0.9)-ACA3)</f>
        <v>997</v>
      </c>
      <c r="ACD3" s="48"/>
      <c r="ACE3" s="10">
        <f>IF((ACH3*0.9-ACA3)&lt;0,0,(ACH3*0.9-ACA3))-ACD3</f>
        <v>997</v>
      </c>
      <c r="ACF3" s="6" t="s">
        <v>52</v>
      </c>
      <c r="ACG3" s="8" t="s">
        <v>47</v>
      </c>
      <c r="ACH3" s="78">
        <v>1800</v>
      </c>
      <c r="ACI3" s="7">
        <v>27000</v>
      </c>
      <c r="ACJ3">
        <v>1800</v>
      </c>
      <c r="ACK3" t="s">
        <v>53</v>
      </c>
      <c r="ACL3" t="s">
        <v>114</v>
      </c>
      <c r="ACM3" t="s">
        <v>115</v>
      </c>
      <c r="ACN3" s="50"/>
      <c r="ACO3" s="50"/>
    </row>
    <row r="4" spans="1:769" ht="30" x14ac:dyDescent="0.25">
      <c r="A4" s="6" t="s">
        <v>50</v>
      </c>
      <c r="B4" s="8" t="s">
        <v>47</v>
      </c>
      <c r="C4" s="7">
        <v>12300</v>
      </c>
      <c r="D4" s="7">
        <f>8546+(-893+1000)+(-7+500)</f>
        <v>9146</v>
      </c>
      <c r="E4" s="7">
        <f>8623+(-921+1000)+(-32+500)</f>
        <v>9170</v>
      </c>
      <c r="F4" s="7">
        <f>8517+(-847+1000)+(-32+500)</f>
        <v>9138</v>
      </c>
      <c r="G4" s="7">
        <f>8454+(-873+1000)+(-32+500)</f>
        <v>9049</v>
      </c>
      <c r="H4" s="7">
        <f>8454+(-873+1000)+(-32+500)</f>
        <v>9049</v>
      </c>
      <c r="I4" s="7">
        <f>8488+(-923+1000)+(-39+500)</f>
        <v>9026</v>
      </c>
      <c r="J4" s="7">
        <f>8569+(-954+1000)+(-39+500)</f>
        <v>9076</v>
      </c>
      <c r="K4" s="7">
        <f>8569+(-964+1000)+(-39+500)</f>
        <v>9066</v>
      </c>
      <c r="L4" s="7">
        <f>8202+(-754+1000)+(-39+500)</f>
        <v>8909</v>
      </c>
      <c r="M4" s="7">
        <f>8202+(-689+1000)+(-39+500)</f>
        <v>8974</v>
      </c>
      <c r="N4" s="7">
        <f>8127+(-469+1000)+(-39+500)</f>
        <v>9119</v>
      </c>
      <c r="O4" s="7">
        <f>8165+(-335+1000)+(-39+500)</f>
        <v>9291</v>
      </c>
      <c r="P4" s="7">
        <f>8158+(-391+1000)+(-39+500)</f>
        <v>9228</v>
      </c>
      <c r="Q4" s="7">
        <f>8027+(-457+1000)+(-39+500)</f>
        <v>9031</v>
      </c>
      <c r="R4" s="7">
        <f>8337+(-457+1000)+(-39+500)</f>
        <v>9341</v>
      </c>
      <c r="S4" s="7">
        <f>8414+(-634+1000)+(-39+500)</f>
        <v>9241</v>
      </c>
      <c r="T4" s="7">
        <f>8920+(-659+1000)+(-39+500)</f>
        <v>9722</v>
      </c>
      <c r="U4" s="7">
        <f>8920+(-637+1000)+(-39+500)</f>
        <v>9744</v>
      </c>
      <c r="V4" s="7">
        <f>9076+(-706+1000)+(-39+500)</f>
        <v>9831</v>
      </c>
      <c r="W4" s="7"/>
      <c r="X4" s="7"/>
      <c r="Y4" s="7">
        <f>9076+(-563+1000)+(-39+500)</f>
        <v>9974</v>
      </c>
      <c r="Z4" s="7">
        <f>9046+(-589+1000)+(-39+500)</f>
        <v>9918</v>
      </c>
      <c r="AA4" s="7">
        <f>8981+(-638+1000)+(-39+500)</f>
        <v>9804</v>
      </c>
      <c r="AB4" s="7">
        <f>9298+(-662+1000)+(-39+500)</f>
        <v>10097</v>
      </c>
      <c r="AC4" s="7">
        <f>9020+(-535+1000)+(-39+500)</f>
        <v>9946</v>
      </c>
      <c r="AD4" s="7"/>
      <c r="AE4" s="7">
        <f>8738+(-664+1000)+(-39+500)</f>
        <v>9535</v>
      </c>
      <c r="AF4" s="7">
        <f>9384+(-715+1000)+(-39+500)</f>
        <v>10130</v>
      </c>
      <c r="AG4" s="7">
        <f>9676+(-560+1000)+(-39+500)</f>
        <v>10577</v>
      </c>
      <c r="AH4" s="7">
        <f>9812+(-646+1000)+(-39+500)</f>
        <v>10627</v>
      </c>
      <c r="AI4" s="7">
        <f>9922+(-667+1000)+(-39+500)</f>
        <v>10716</v>
      </c>
      <c r="AJ4" s="7">
        <f>10521+(-682+1000)+(-39+500)</f>
        <v>11300</v>
      </c>
      <c r="AK4" s="7">
        <f>10484+(-764+1000)+(-39+500)</f>
        <v>11181</v>
      </c>
      <c r="AL4" s="7">
        <f>10431+(-203+1000)+(-39+500)</f>
        <v>11689</v>
      </c>
      <c r="AM4" s="7">
        <f>10358+(-252+1000)+(-39-97+500)</f>
        <v>11470</v>
      </c>
      <c r="AN4" s="7">
        <f>10411+(-326+1000)+(-39-102+500)</f>
        <v>11444</v>
      </c>
      <c r="AO4" s="7">
        <f>10411+(-379+1000)+(-39-102+500)</f>
        <v>11391</v>
      </c>
      <c r="AP4" s="7">
        <f>10190+(-406+1000)+(-39-102+500)</f>
        <v>11143</v>
      </c>
      <c r="AQ4" s="7">
        <f>10352+(-457+1000)+(-39-102+500)</f>
        <v>11254</v>
      </c>
      <c r="AR4" s="7">
        <f>10413+(-605+1000)+(-39-102+500)</f>
        <v>11167</v>
      </c>
      <c r="AS4" s="7">
        <f>10789+(-670+1000)+(-39-102+500)</f>
        <v>11478</v>
      </c>
      <c r="AT4" s="7">
        <f>10993+(-670+1000)+(-39-102+500)</f>
        <v>11682</v>
      </c>
      <c r="AU4" s="7">
        <f>11051+(-523+1000)+(-39-114+500)</f>
        <v>11875</v>
      </c>
      <c r="AV4" s="7">
        <f>10701+(-445+1000)+(-39-114+500)</f>
        <v>11603</v>
      </c>
      <c r="AW4" s="7">
        <f>10700+(-472+1000)+(-39-117+500)</f>
        <v>11572</v>
      </c>
      <c r="AX4" s="7">
        <f>10351+(-631+1000)+(-39-125+500)</f>
        <v>11056</v>
      </c>
      <c r="AY4" s="7">
        <f>10371+(-631+1000)+(-7-126+500)</f>
        <v>11107</v>
      </c>
      <c r="AZ4" s="7">
        <f>10368+(-465+1000)+(-7-101+500)</f>
        <v>11295</v>
      </c>
      <c r="BA4" s="7">
        <f>10082+(-155+1000)+(-7-114+500)</f>
        <v>11306</v>
      </c>
      <c r="BB4" s="7">
        <f>10240+(-40+1000)+(-7-114+500)</f>
        <v>11579</v>
      </c>
      <c r="BC4" s="7">
        <f>10308+(-11+1000)+(-7-101+500)</f>
        <v>11689</v>
      </c>
      <c r="BD4" s="7">
        <f>10055+(-11+1000)+(-7-140+500)</f>
        <v>11397</v>
      </c>
      <c r="BE4" s="7">
        <f>10055+(-11+1000)+(-7-141+500)</f>
        <v>11396</v>
      </c>
      <c r="BF4" s="7">
        <f>9923+(-11+1000)+(-7-137+500)</f>
        <v>11268</v>
      </c>
      <c r="BG4" s="7">
        <f>9720+(-11+1000)+(-7-137+500)</f>
        <v>11065</v>
      </c>
      <c r="BH4" s="7">
        <f>9983+(-11+1000)+(-7-137+500)</f>
        <v>11328</v>
      </c>
      <c r="BI4" s="7">
        <f>9955+(-11+1000)+(-7-135+500)</f>
        <v>11302</v>
      </c>
      <c r="BJ4" s="7">
        <f>10210+(-11+1000)+(-7-135+500)</f>
        <v>11557</v>
      </c>
      <c r="BK4" s="7">
        <f>10251+(-11+1000)+(-7-138+500)</f>
        <v>11595</v>
      </c>
      <c r="BL4" s="7">
        <f>10576+(-11+1000)+(-7-141+500)</f>
        <v>11917</v>
      </c>
      <c r="BM4" s="7">
        <f>10325+(-11+1000)+(-7-142+500)</f>
        <v>11665</v>
      </c>
      <c r="BN4" s="7">
        <f>10314+(-11+1000)+(-7-142+500)</f>
        <v>11654</v>
      </c>
      <c r="BO4" s="7">
        <f>10022+(-11+1000)+(-7-144+500)</f>
        <v>11360</v>
      </c>
      <c r="BP4" s="7">
        <f>9883+(-11+1000)+(-7-144+500)</f>
        <v>11221</v>
      </c>
      <c r="BQ4" s="7">
        <f>9883+(-11+1000)+(-7-144+500)</f>
        <v>11221</v>
      </c>
      <c r="BR4" s="7">
        <f>9937+(-11+1000)+(-7-148+500)</f>
        <v>11271</v>
      </c>
      <c r="BS4" s="7">
        <f>9749+(-7-152+500)</f>
        <v>10090</v>
      </c>
      <c r="BT4" s="7">
        <f>9644+(-7-152+500)</f>
        <v>9985</v>
      </c>
      <c r="BU4" s="7">
        <f>9496+(-7-154+500)</f>
        <v>9835</v>
      </c>
      <c r="BV4" s="7">
        <f>9496+(-7-154+500)</f>
        <v>9835</v>
      </c>
      <c r="BW4" s="7">
        <f>9504+(-7-145+500)</f>
        <v>9852</v>
      </c>
      <c r="BX4" s="7">
        <f>9445+(-7-145+500)</f>
        <v>9793</v>
      </c>
      <c r="BY4" s="7">
        <f>9572+(-7-145+500)</f>
        <v>9920</v>
      </c>
      <c r="BZ4" s="7">
        <f>8955+(-7-127+500)</f>
        <v>9321</v>
      </c>
      <c r="CA4" s="7">
        <f>8955+(-7-117+500)</f>
        <v>9331</v>
      </c>
      <c r="CB4" s="7">
        <f>8855+(-7-117+500)</f>
        <v>9231</v>
      </c>
      <c r="CC4" s="7">
        <f>8591+(-7-118+500)</f>
        <v>8966</v>
      </c>
      <c r="CD4" s="7">
        <f>8620+(-7-118+500)</f>
        <v>8995</v>
      </c>
      <c r="CE4" s="7">
        <f>8474+(-7-118+500)</f>
        <v>8849</v>
      </c>
      <c r="CF4" s="7">
        <f>8492+(-7-119+500)</f>
        <v>8866</v>
      </c>
      <c r="CG4" s="7">
        <f>8413+(-7-96+500)</f>
        <v>8810</v>
      </c>
      <c r="CH4" s="7">
        <f>8500+(-7-94+500)</f>
        <v>8899</v>
      </c>
      <c r="CI4" s="7">
        <f>8500+(-7-94+500)</f>
        <v>8899</v>
      </c>
      <c r="CJ4" s="7">
        <f>8337+(-7-94+500)</f>
        <v>8736</v>
      </c>
      <c r="CK4" s="7">
        <f>8556+(-7-94+500)</f>
        <v>8955</v>
      </c>
      <c r="CL4" s="7">
        <f>7096+(-7-94+500)</f>
        <v>7495</v>
      </c>
      <c r="CM4" s="7">
        <f>7301+(-7-94+500)</f>
        <v>7700</v>
      </c>
      <c r="CN4" s="7">
        <f>7643+(-7-48+500)</f>
        <v>8088</v>
      </c>
      <c r="CO4" s="7">
        <f>7718+(-7-48+500)</f>
        <v>8163</v>
      </c>
      <c r="CP4" s="7">
        <f>8525+(-7-53+500)</f>
        <v>8965</v>
      </c>
      <c r="CQ4" s="7">
        <f>8479+(-7-52+500)</f>
        <v>8920</v>
      </c>
      <c r="CR4" s="7">
        <f>8394+(-7-52+500)</f>
        <v>8835</v>
      </c>
      <c r="CS4" s="7">
        <f>8026+(-7-48+500)</f>
        <v>8471</v>
      </c>
      <c r="CT4" s="7">
        <f>8070+(-7-49+500)</f>
        <v>8514</v>
      </c>
      <c r="CU4" s="7">
        <f>8116+(-7-49+500)</f>
        <v>8560</v>
      </c>
      <c r="CV4" s="7">
        <f>8380+(-7-49+500)</f>
        <v>8824</v>
      </c>
      <c r="CW4" s="7">
        <f>8374+(-7-49+500)</f>
        <v>8818</v>
      </c>
      <c r="CX4" s="7">
        <f>8411+(-7-49+500)</f>
        <v>8855</v>
      </c>
      <c r="CY4" s="7">
        <f>8305+(-7-33+500)</f>
        <v>8765</v>
      </c>
      <c r="CZ4" s="7">
        <f>8462+(-7-33+500)</f>
        <v>8922</v>
      </c>
      <c r="DA4" s="7">
        <f>8620+(-7-90+500)</f>
        <v>9023</v>
      </c>
      <c r="DB4" s="7">
        <f>8619+(-7-57+500)</f>
        <v>9055</v>
      </c>
      <c r="DC4" s="7">
        <f>8562+(-7-57+500)</f>
        <v>8998</v>
      </c>
      <c r="DD4" s="7">
        <f>8702+(-7-57+500)</f>
        <v>9138</v>
      </c>
      <c r="DE4" s="7">
        <f>8775+(-7-57+500)</f>
        <v>9211</v>
      </c>
      <c r="DF4" s="7">
        <f>8650+(-7-57+500)</f>
        <v>9086</v>
      </c>
      <c r="DG4" s="7">
        <f>8696+(-7-57+500)</f>
        <v>9132</v>
      </c>
      <c r="DH4" s="7">
        <f>8579+(-7-58+500)</f>
        <v>9014</v>
      </c>
      <c r="DI4" s="7">
        <f>8811+(-7-58+500)</f>
        <v>9246</v>
      </c>
      <c r="DJ4" s="7">
        <f>9487+(-7-76+500)</f>
        <v>9904</v>
      </c>
      <c r="DK4" s="7">
        <f>9487+(-7-80+500)</f>
        <v>9900</v>
      </c>
      <c r="DL4" s="7">
        <f>9576+(-7-80+500)</f>
        <v>9989</v>
      </c>
      <c r="DM4" s="7">
        <f>9591+(-7-76+500)</f>
        <v>10008</v>
      </c>
      <c r="DN4" s="7">
        <f>9858+(-7-71+500)</f>
        <v>10280</v>
      </c>
      <c r="DO4" s="7">
        <f>9858+(-7-71+500)</f>
        <v>10280</v>
      </c>
      <c r="DP4" s="7">
        <f>10467+(-7-71+500)</f>
        <v>10889</v>
      </c>
      <c r="DQ4" s="7">
        <f>10464+(-7-72+500)</f>
        <v>10885</v>
      </c>
      <c r="DR4" s="7">
        <f>10645+(-7-71+500)</f>
        <v>11067</v>
      </c>
      <c r="DS4" s="7">
        <f>10764+(-7-79+500)+550</f>
        <v>11728</v>
      </c>
      <c r="DT4" s="7">
        <f>10922+(-7-132+500)+400</f>
        <v>11683</v>
      </c>
      <c r="DU4" s="7">
        <f>11228+(-7-132+500)+430</f>
        <v>12019</v>
      </c>
      <c r="DV4" s="7">
        <f>10899+(-7-133+500)+515</f>
        <v>11774</v>
      </c>
      <c r="DW4" s="7">
        <f>10875+(-7-128+500)+607</f>
        <v>11847</v>
      </c>
      <c r="DX4" s="7">
        <f>11065+(-7-124+500)+314</f>
        <v>11748</v>
      </c>
      <c r="DY4" s="7">
        <f>11134+(-7-160+500)+908</f>
        <v>12375</v>
      </c>
      <c r="DZ4" s="7">
        <f>11501+(-7-113+500)+1000</f>
        <v>12881</v>
      </c>
      <c r="EA4" s="7">
        <f>11942+(-7-113+500)+700</f>
        <v>13022</v>
      </c>
      <c r="EB4" s="7">
        <f>12150+(-7-113+500)</f>
        <v>12530</v>
      </c>
      <c r="EC4" s="7">
        <f>12066+(-7-108+500)</f>
        <v>12451</v>
      </c>
      <c r="ED4" s="7">
        <f>12437+(-7-118+500)+600</f>
        <v>13412</v>
      </c>
      <c r="EE4" s="7">
        <f>12427+(-7-123+500)+600</f>
        <v>13397</v>
      </c>
      <c r="EF4" s="7">
        <f>12899+(-7-143+500)+1000</f>
        <v>14249</v>
      </c>
      <c r="EG4" s="7">
        <f>12781+(-7-155+500)+1000</f>
        <v>14119</v>
      </c>
      <c r="EH4" s="7">
        <f>12780+(-7-158+500)+255</f>
        <v>13370</v>
      </c>
      <c r="EI4" s="7">
        <f>12896+(-7-148+500)+255</f>
        <v>13496</v>
      </c>
      <c r="EJ4" s="7">
        <f>12875+(-7-146+500)+66</f>
        <v>13288</v>
      </c>
      <c r="EK4" s="7">
        <f>12460+(-7-38+500)+200</f>
        <v>13115</v>
      </c>
      <c r="EL4" s="7">
        <f>12469+(-7-38+500)+180</f>
        <v>13104</v>
      </c>
      <c r="EM4" s="7">
        <f>12469+(-7-38+500)+180</f>
        <v>13104</v>
      </c>
      <c r="EN4" s="7">
        <f>12289+(-7-38+500)+150</f>
        <v>12894</v>
      </c>
      <c r="EO4" s="7">
        <f>12289+(-7-38+500)+150</f>
        <v>12894</v>
      </c>
      <c r="EP4" s="7">
        <f>12055+(-7-38+500)+150</f>
        <v>12660</v>
      </c>
      <c r="EQ4" s="7">
        <f>11698+(-7-38+500)</f>
        <v>12153</v>
      </c>
      <c r="ER4" s="7">
        <f>11410+(-7-38+500)+25</f>
        <v>11890</v>
      </c>
      <c r="ES4" s="7">
        <f>11470+(-8-36+500)+10</f>
        <v>11936</v>
      </c>
      <c r="ET4" s="7">
        <f>11722+(-8-36+500)</f>
        <v>12178</v>
      </c>
      <c r="EU4" s="7">
        <f>11939+(-8-36+500)</f>
        <v>12395</v>
      </c>
      <c r="EV4" s="7">
        <f>11891+(-8-36+500)</f>
        <v>12347</v>
      </c>
      <c r="EW4" s="7">
        <f>12307+(-8-36+500)</f>
        <v>12763</v>
      </c>
      <c r="EX4" s="7">
        <f>12307+(-8-36+500)</f>
        <v>12763</v>
      </c>
      <c r="EY4" s="7">
        <f>12513+(-8-40+500)</f>
        <v>12965</v>
      </c>
      <c r="EZ4" s="7">
        <f>11300+(-7+500)</f>
        <v>11793</v>
      </c>
      <c r="FA4" s="7">
        <f>11377+(-7+500)</f>
        <v>11870</v>
      </c>
      <c r="FB4" s="7">
        <f>11572+(-7+500)</f>
        <v>12065</v>
      </c>
      <c r="FC4" s="7">
        <f>11572+(-7+500)</f>
        <v>12065</v>
      </c>
      <c r="FD4" s="7">
        <f>12317</f>
        <v>12317</v>
      </c>
      <c r="FE4" s="7">
        <v>12143</v>
      </c>
      <c r="FF4" s="7">
        <v>12055</v>
      </c>
      <c r="FG4" s="7">
        <v>12039</v>
      </c>
      <c r="FH4" s="7">
        <v>12039</v>
      </c>
      <c r="FI4" s="7">
        <v>12215</v>
      </c>
      <c r="FJ4" s="7">
        <v>12158</v>
      </c>
      <c r="FK4" s="7">
        <v>12054</v>
      </c>
      <c r="FL4" s="7">
        <v>11960</v>
      </c>
      <c r="FM4" s="7">
        <v>12119</v>
      </c>
      <c r="FN4" s="7">
        <v>12286</v>
      </c>
      <c r="FO4" s="7">
        <v>12008</v>
      </c>
      <c r="FP4" s="7">
        <v>12085</v>
      </c>
      <c r="FQ4" s="7">
        <v>12202</v>
      </c>
      <c r="FR4" s="7">
        <v>12568</v>
      </c>
      <c r="FS4" s="7">
        <v>12675</v>
      </c>
      <c r="FT4" s="7">
        <v>12675</v>
      </c>
      <c r="FU4" s="7">
        <v>12677</v>
      </c>
      <c r="FV4" s="7">
        <v>12690</v>
      </c>
      <c r="FW4" s="7">
        <v>13037</v>
      </c>
      <c r="FX4" s="7">
        <v>12801</v>
      </c>
      <c r="FY4" s="7"/>
      <c r="FZ4" s="7">
        <v>12652</v>
      </c>
      <c r="GA4" s="7">
        <v>12799</v>
      </c>
      <c r="GB4" s="7">
        <v>13085</v>
      </c>
      <c r="GC4" s="7">
        <v>14114</v>
      </c>
      <c r="GD4" s="7">
        <v>14359</v>
      </c>
      <c r="GE4" s="7">
        <v>14506</v>
      </c>
      <c r="GF4" s="7">
        <v>14436</v>
      </c>
      <c r="GG4" s="7">
        <v>14550</v>
      </c>
      <c r="GH4" s="7">
        <v>14372</v>
      </c>
      <c r="GI4" s="7">
        <v>14259</v>
      </c>
      <c r="GJ4" s="7">
        <v>13268</v>
      </c>
      <c r="GK4" s="7">
        <v>13083</v>
      </c>
      <c r="GL4" s="7">
        <v>13316</v>
      </c>
      <c r="GM4" s="7">
        <v>13276</v>
      </c>
      <c r="GN4" s="7">
        <v>13509</v>
      </c>
      <c r="GO4" s="7">
        <v>13331</v>
      </c>
      <c r="GP4" s="7">
        <v>13473</v>
      </c>
      <c r="GQ4" s="7">
        <v>13303</v>
      </c>
      <c r="GR4" s="7">
        <v>13255</v>
      </c>
      <c r="GS4" s="7">
        <v>13156</v>
      </c>
      <c r="GT4" s="7">
        <v>12432</v>
      </c>
      <c r="GU4" s="7">
        <v>12314</v>
      </c>
      <c r="GV4" s="7">
        <v>12656</v>
      </c>
      <c r="GW4" s="7">
        <v>13183</v>
      </c>
      <c r="GX4" s="7">
        <v>12920</v>
      </c>
      <c r="GY4" s="7">
        <v>12424</v>
      </c>
      <c r="GZ4" s="7">
        <v>12578</v>
      </c>
      <c r="HA4" s="7">
        <v>12289</v>
      </c>
      <c r="HB4" s="7">
        <v>12203</v>
      </c>
      <c r="HC4" s="7">
        <v>12370</v>
      </c>
      <c r="HD4" s="7">
        <v>12438</v>
      </c>
      <c r="HE4" s="7">
        <v>12632</v>
      </c>
      <c r="HF4" s="7">
        <v>12872</v>
      </c>
      <c r="HG4" s="7">
        <v>13096</v>
      </c>
      <c r="HH4" s="7">
        <v>13213</v>
      </c>
      <c r="HI4" s="7">
        <v>12755</v>
      </c>
      <c r="HJ4" s="7">
        <v>12927</v>
      </c>
      <c r="HK4" s="7">
        <v>13255</v>
      </c>
      <c r="HL4" s="7">
        <v>13184</v>
      </c>
      <c r="HM4" s="7">
        <v>13135</v>
      </c>
      <c r="HN4" s="7">
        <v>13055</v>
      </c>
      <c r="HO4" s="7">
        <v>14126</v>
      </c>
      <c r="HP4" s="7">
        <v>14347</v>
      </c>
      <c r="HQ4" s="7">
        <v>14984</v>
      </c>
      <c r="HR4" s="7">
        <v>15545</v>
      </c>
      <c r="HS4" s="7">
        <v>15545</v>
      </c>
      <c r="HT4" s="7">
        <v>15977</v>
      </c>
      <c r="HU4" s="7">
        <v>16404</v>
      </c>
      <c r="HV4" s="7">
        <v>16795</v>
      </c>
      <c r="HW4" s="7">
        <v>17062</v>
      </c>
      <c r="HX4" s="7">
        <v>17131</v>
      </c>
      <c r="HY4" s="7">
        <v>17152</v>
      </c>
      <c r="HZ4" s="7">
        <v>17492</v>
      </c>
      <c r="IA4" s="7">
        <v>17283</v>
      </c>
      <c r="IB4" s="7">
        <v>17383</v>
      </c>
      <c r="IC4" s="7">
        <v>17443</v>
      </c>
      <c r="ID4" s="7">
        <v>17562</v>
      </c>
      <c r="IE4" s="7">
        <v>17812</v>
      </c>
      <c r="IF4" s="7">
        <v>17970</v>
      </c>
      <c r="IG4" s="7">
        <v>17928</v>
      </c>
      <c r="IH4" s="7">
        <v>18040</v>
      </c>
      <c r="II4" s="7">
        <v>17739</v>
      </c>
      <c r="IJ4" s="7">
        <v>17306</v>
      </c>
      <c r="IK4" s="7">
        <v>17386</v>
      </c>
      <c r="IL4" s="7">
        <v>17386</v>
      </c>
      <c r="IM4" s="7">
        <v>16596</v>
      </c>
      <c r="IN4" s="7">
        <v>16012</v>
      </c>
      <c r="IO4" s="7">
        <v>16064</v>
      </c>
      <c r="IP4" s="7">
        <v>16235</v>
      </c>
      <c r="IQ4" s="7">
        <v>16342</v>
      </c>
      <c r="IR4" s="7">
        <v>16340</v>
      </c>
      <c r="IS4" s="7">
        <v>16154</v>
      </c>
      <c r="IT4" s="7">
        <v>16130</v>
      </c>
      <c r="IU4" s="7">
        <v>15865</v>
      </c>
      <c r="IV4" s="7">
        <v>15991</v>
      </c>
      <c r="IW4" s="7">
        <v>15993</v>
      </c>
      <c r="IX4" s="7">
        <v>15988</v>
      </c>
      <c r="IY4" s="7">
        <v>15538</v>
      </c>
      <c r="IZ4" s="7">
        <v>15336</v>
      </c>
      <c r="JA4" s="7">
        <v>16407</v>
      </c>
      <c r="JB4" s="7">
        <v>16438</v>
      </c>
      <c r="JC4" s="7">
        <v>16671</v>
      </c>
      <c r="JD4" s="7">
        <v>18031</v>
      </c>
      <c r="JE4" s="7">
        <v>18025</v>
      </c>
      <c r="JF4" s="7">
        <v>17970</v>
      </c>
      <c r="JG4" s="7">
        <v>18086</v>
      </c>
      <c r="JH4" s="7">
        <v>18822</v>
      </c>
      <c r="JI4" s="7">
        <v>18922</v>
      </c>
      <c r="JJ4" s="7">
        <v>19200</v>
      </c>
      <c r="JK4" s="7">
        <v>19861</v>
      </c>
      <c r="JL4" s="7">
        <v>19438</v>
      </c>
      <c r="JM4" s="7">
        <v>18979</v>
      </c>
      <c r="JN4" s="7">
        <v>18482</v>
      </c>
      <c r="JO4" s="7">
        <v>18623</v>
      </c>
      <c r="JP4" s="7">
        <v>18064</v>
      </c>
      <c r="JQ4" s="7">
        <v>17972</v>
      </c>
      <c r="JR4" s="7">
        <v>18396</v>
      </c>
      <c r="JS4" s="7">
        <v>18149</v>
      </c>
      <c r="JT4" s="7">
        <v>17629</v>
      </c>
      <c r="JU4" s="7">
        <v>16993</v>
      </c>
      <c r="JV4" s="7">
        <v>16870</v>
      </c>
      <c r="JW4" s="103">
        <v>16746</v>
      </c>
      <c r="JX4" s="475"/>
      <c r="JY4" s="24" t="s">
        <v>50</v>
      </c>
      <c r="JZ4" s="6" t="s">
        <v>47</v>
      </c>
      <c r="KA4" s="15"/>
      <c r="KB4" s="6" t="s">
        <v>50</v>
      </c>
      <c r="KC4" s="7">
        <v>16562</v>
      </c>
      <c r="KD4" s="7">
        <v>16264</v>
      </c>
      <c r="KE4" s="7">
        <v>15779</v>
      </c>
      <c r="KF4" s="7">
        <v>15725</v>
      </c>
      <c r="KG4" s="7">
        <v>16029</v>
      </c>
      <c r="KH4" s="7">
        <v>15786</v>
      </c>
      <c r="KI4" s="7">
        <v>15524</v>
      </c>
      <c r="KJ4" s="7">
        <v>15595</v>
      </c>
      <c r="KL4" s="6" t="s">
        <v>50</v>
      </c>
      <c r="KM4" s="7">
        <v>15639</v>
      </c>
      <c r="KN4" s="7">
        <v>15443</v>
      </c>
      <c r="KO4" s="7">
        <v>15572</v>
      </c>
      <c r="KP4" s="7">
        <v>15404</v>
      </c>
      <c r="KQ4" s="7">
        <v>15234</v>
      </c>
      <c r="KR4" s="7">
        <v>14918</v>
      </c>
      <c r="KS4" s="7">
        <v>15369</v>
      </c>
      <c r="KT4" s="7">
        <v>15939</v>
      </c>
      <c r="KU4" s="7">
        <v>15411</v>
      </c>
      <c r="KV4" s="7">
        <v>15189</v>
      </c>
      <c r="KW4" s="7">
        <v>15345</v>
      </c>
      <c r="KX4" s="7">
        <v>15446</v>
      </c>
      <c r="KY4" s="7">
        <v>15289</v>
      </c>
      <c r="KZ4" s="7">
        <v>15181</v>
      </c>
      <c r="LA4" s="7">
        <v>15181</v>
      </c>
      <c r="LB4" s="7">
        <v>15126</v>
      </c>
      <c r="LC4" s="7">
        <v>15326</v>
      </c>
      <c r="LD4" s="7">
        <v>14628</v>
      </c>
      <c r="LE4" s="7">
        <v>14628</v>
      </c>
      <c r="LF4" s="7">
        <v>15020</v>
      </c>
      <c r="LG4" s="10">
        <f>14447+761-31.85</f>
        <v>15176.15</v>
      </c>
      <c r="LH4" s="10">
        <f>14615+761-31.85</f>
        <v>15344.15</v>
      </c>
      <c r="LI4" s="10">
        <f>14030+761-31.85</f>
        <v>14759.15</v>
      </c>
      <c r="LJ4" s="10">
        <f>13998+761-77</f>
        <v>14682</v>
      </c>
      <c r="LK4" s="10">
        <f>14392+761-110</f>
        <v>15043</v>
      </c>
      <c r="LL4" s="10">
        <f>14422+761-131</f>
        <v>15052</v>
      </c>
      <c r="LM4" s="10">
        <f>14537+761-133</f>
        <v>15165</v>
      </c>
      <c r="LN4" s="10">
        <f>14344+761-142</f>
        <v>14963</v>
      </c>
      <c r="LO4" s="10">
        <f>14286+761-175</f>
        <v>14872</v>
      </c>
      <c r="LP4" s="10">
        <f>14740+761-202</f>
        <v>15299</v>
      </c>
      <c r="LQ4" s="10">
        <f>14753+761-221</f>
        <v>15293</v>
      </c>
      <c r="LR4" s="10">
        <f>14946+761-244</f>
        <v>15463</v>
      </c>
      <c r="LS4" s="10">
        <f>14842+761-270</f>
        <v>15333</v>
      </c>
      <c r="LT4" s="10">
        <f>14776+761-294</f>
        <v>15243</v>
      </c>
      <c r="LU4" s="10">
        <f>15265+761-338</f>
        <v>15688</v>
      </c>
      <c r="LV4" s="10">
        <f>15179+761-368</f>
        <v>15572</v>
      </c>
      <c r="LW4" s="10">
        <f>15346+761-413</f>
        <v>15694</v>
      </c>
      <c r="LX4" s="10">
        <f>15354+761-444</f>
        <v>15671</v>
      </c>
      <c r="LY4" s="10">
        <f>15528+761-435</f>
        <v>15854</v>
      </c>
      <c r="LZ4" s="10">
        <f>15087+761-468</f>
        <v>15380</v>
      </c>
      <c r="MA4" s="10">
        <f>15207+761-498</f>
        <v>15470</v>
      </c>
      <c r="MB4" s="10">
        <f>15044+761-516</f>
        <v>15289</v>
      </c>
      <c r="MC4" s="10">
        <f>15178+761-532</f>
        <v>15407</v>
      </c>
      <c r="MD4" s="10">
        <f>14755+761-536</f>
        <v>14980</v>
      </c>
      <c r="ME4" s="10">
        <f>14735+761-605</f>
        <v>14891</v>
      </c>
      <c r="MF4" s="10">
        <f>15149+761-637</f>
        <v>15273</v>
      </c>
      <c r="MG4" s="10">
        <f>15071+761-627</f>
        <v>15205</v>
      </c>
      <c r="MH4" s="10">
        <f>15182+761-643</f>
        <v>15300</v>
      </c>
      <c r="MI4" s="10">
        <f>15559+761-674</f>
        <v>15646</v>
      </c>
      <c r="MJ4" s="10">
        <f>15407+761-729</f>
        <v>15439</v>
      </c>
      <c r="MK4" s="10">
        <f>15684+761-750</f>
        <v>15695</v>
      </c>
      <c r="ML4" s="10">
        <f>15964+761-775</f>
        <v>15950</v>
      </c>
      <c r="MM4" s="10">
        <f>16160+761-711</f>
        <v>16210</v>
      </c>
      <c r="MN4" s="10">
        <f>15897+761-723</f>
        <v>15935</v>
      </c>
      <c r="MO4" s="10">
        <f>15567+761-774</f>
        <v>15554</v>
      </c>
      <c r="MP4" s="10">
        <f>16058+761-799</f>
        <v>16020</v>
      </c>
      <c r="MQ4" s="10">
        <f>15648+761-782</f>
        <v>15627</v>
      </c>
      <c r="MR4" s="10">
        <f>15609+761-830</f>
        <v>15540</v>
      </c>
      <c r="MS4" s="10">
        <f>16086+761-864</f>
        <v>15983</v>
      </c>
      <c r="MT4" s="10">
        <f>16480+761-866</f>
        <v>16375</v>
      </c>
      <c r="MU4" s="10">
        <f>16401+761-848</f>
        <v>16314</v>
      </c>
      <c r="MV4" s="10">
        <f>16253+761-888</f>
        <v>16126</v>
      </c>
      <c r="MW4" s="10">
        <f>16368+761-891</f>
        <v>16238</v>
      </c>
      <c r="MX4" s="10">
        <f>16720+761-903</f>
        <v>16578</v>
      </c>
      <c r="MY4" s="10">
        <f>16720+761-903</f>
        <v>16578</v>
      </c>
      <c r="MZ4" s="10">
        <f>17023+761-896</f>
        <v>16888</v>
      </c>
      <c r="NA4" s="10">
        <f>16861+761-926</f>
        <v>16696</v>
      </c>
      <c r="NB4" s="10">
        <f>17148+761-923</f>
        <v>16986</v>
      </c>
      <c r="NC4" s="10">
        <f>17087+761-923</f>
        <v>16925</v>
      </c>
      <c r="ND4" s="10">
        <f>16764+761-924</f>
        <v>16601</v>
      </c>
      <c r="NE4" s="10">
        <f>16200+761-914</f>
        <v>16047</v>
      </c>
      <c r="NF4" s="10">
        <f>16055+761-915</f>
        <v>15901</v>
      </c>
      <c r="NG4" s="10">
        <f>16141+761-858</f>
        <v>16044</v>
      </c>
      <c r="NH4" s="10">
        <f>15332+761-537</f>
        <v>15556</v>
      </c>
      <c r="NI4" s="10">
        <f>14297+761-279</f>
        <v>14779</v>
      </c>
      <c r="NJ4" s="10">
        <f>14298+761-279</f>
        <v>14780</v>
      </c>
      <c r="NK4" s="10">
        <f>14320+761-240</f>
        <v>14841</v>
      </c>
      <c r="NL4" s="10">
        <f>14516+761-83</f>
        <v>15194</v>
      </c>
      <c r="NM4" s="10">
        <f>14490+761-83</f>
        <v>15168</v>
      </c>
      <c r="NN4" s="10">
        <f>13891+761-83</f>
        <v>14569</v>
      </c>
      <c r="NO4" s="10">
        <f>13804+761-83</f>
        <v>14482</v>
      </c>
      <c r="NP4" s="10">
        <f>13721+761-83</f>
        <v>14399</v>
      </c>
      <c r="NQ4" s="10">
        <f>13350+761-83.87</f>
        <v>14027.13</v>
      </c>
      <c r="NR4" s="10">
        <f>13154+761-83.87</f>
        <v>13831.13</v>
      </c>
      <c r="NS4" s="10">
        <f>12803</f>
        <v>12803</v>
      </c>
      <c r="NT4" s="10">
        <f>12800</f>
        <v>12800</v>
      </c>
      <c r="NU4" s="10">
        <f>12931</f>
        <v>12931</v>
      </c>
      <c r="NV4" s="10">
        <f>13061</f>
        <v>13061</v>
      </c>
      <c r="NW4" s="10">
        <v>13248</v>
      </c>
      <c r="NX4" s="10">
        <v>13315</v>
      </c>
      <c r="NY4" s="10">
        <v>13216</v>
      </c>
      <c r="NZ4" s="10">
        <v>13082</v>
      </c>
      <c r="OA4" s="10">
        <v>12841</v>
      </c>
      <c r="OB4" s="10">
        <v>12570</v>
      </c>
      <c r="OC4" s="10">
        <v>12421</v>
      </c>
      <c r="OD4" s="10">
        <v>12395</v>
      </c>
      <c r="OE4" s="10">
        <v>12539</v>
      </c>
      <c r="OF4" s="10">
        <v>12522</v>
      </c>
      <c r="OG4" s="10">
        <v>12636</v>
      </c>
      <c r="OH4" s="10">
        <v>12504</v>
      </c>
      <c r="OI4" s="10">
        <v>12489</v>
      </c>
      <c r="OJ4" s="10">
        <v>12555</v>
      </c>
      <c r="OK4" s="10">
        <v>12783</v>
      </c>
      <c r="OL4" s="10">
        <v>12688</v>
      </c>
      <c r="OM4" s="10">
        <v>12376</v>
      </c>
      <c r="ON4" s="10">
        <v>12457</v>
      </c>
      <c r="OO4" s="10">
        <v>12339</v>
      </c>
      <c r="OP4" s="10">
        <v>12359.95</v>
      </c>
      <c r="OQ4" s="10">
        <v>12730.1</v>
      </c>
      <c r="OR4" s="10">
        <v>12557.83</v>
      </c>
      <c r="OS4" s="10">
        <v>12573.98</v>
      </c>
      <c r="OT4" s="10">
        <v>12375.5</v>
      </c>
      <c r="OU4" s="10">
        <v>12687.61</v>
      </c>
      <c r="OV4" s="10">
        <v>12656.27</v>
      </c>
      <c r="OW4" s="10">
        <v>12583.05</v>
      </c>
      <c r="OX4" s="10">
        <v>13345.24</v>
      </c>
      <c r="OY4" s="10">
        <v>13294.37</v>
      </c>
      <c r="OZ4" s="10">
        <v>13426.84</v>
      </c>
      <c r="PA4" s="10">
        <v>13501.17</v>
      </c>
      <c r="PB4" s="10">
        <v>13632.28</v>
      </c>
      <c r="PC4" s="10">
        <v>13769.53</v>
      </c>
      <c r="PD4" s="10">
        <v>13703.91</v>
      </c>
      <c r="PE4" s="10">
        <v>13883.35</v>
      </c>
      <c r="PF4" s="10">
        <v>14023.2</v>
      </c>
      <c r="PG4" s="10">
        <v>14374.04</v>
      </c>
      <c r="PH4" s="10">
        <v>14069.68</v>
      </c>
      <c r="PI4" s="10">
        <v>13863.58</v>
      </c>
      <c r="PJ4" s="10">
        <v>14092.66</v>
      </c>
      <c r="PK4" s="10">
        <v>14249.58</v>
      </c>
      <c r="PL4" s="10">
        <v>14351.28</v>
      </c>
      <c r="PM4" s="10">
        <v>14275.78</v>
      </c>
      <c r="PN4" s="10">
        <v>13899.58</v>
      </c>
      <c r="PO4" s="10">
        <v>13974.6</v>
      </c>
      <c r="PP4" s="10">
        <v>13905.56</v>
      </c>
      <c r="PQ4" s="10">
        <v>14197.7</v>
      </c>
      <c r="PR4" s="10">
        <v>14248.81</v>
      </c>
      <c r="PS4" s="10">
        <v>14426.74</v>
      </c>
      <c r="PT4" s="10">
        <v>15291.48</v>
      </c>
      <c r="PU4" s="10">
        <v>15441.56</v>
      </c>
      <c r="PV4" s="10">
        <v>15701.47</v>
      </c>
      <c r="PW4" s="10">
        <v>16112.24</v>
      </c>
      <c r="PX4" s="10">
        <v>15177.86</v>
      </c>
      <c r="PY4" s="10">
        <v>15009.7</v>
      </c>
      <c r="PZ4" s="10">
        <v>14940.64</v>
      </c>
      <c r="QA4" s="10">
        <v>14774.89</v>
      </c>
      <c r="QB4" s="10">
        <v>15164.64</v>
      </c>
      <c r="QC4" s="10">
        <v>15225.83</v>
      </c>
      <c r="QD4" s="10">
        <v>15105.13</v>
      </c>
      <c r="QE4" s="10">
        <v>15367.79</v>
      </c>
      <c r="QF4" s="10">
        <v>15428.43</v>
      </c>
      <c r="QG4" s="10">
        <v>15066.36</v>
      </c>
      <c r="QH4" s="10">
        <v>15040.81</v>
      </c>
      <c r="QI4" s="10">
        <v>15221.68</v>
      </c>
      <c r="QJ4" s="10">
        <v>15204.32</v>
      </c>
      <c r="QK4" s="10">
        <v>15372.69</v>
      </c>
      <c r="QL4" s="10">
        <v>15170.37</v>
      </c>
      <c r="QM4" s="10">
        <v>15572.72</v>
      </c>
      <c r="QN4" s="10">
        <v>15457.05</v>
      </c>
      <c r="QO4" s="10">
        <v>15371.23</v>
      </c>
      <c r="QP4" s="10">
        <v>15360.45</v>
      </c>
      <c r="QQ4" s="10">
        <v>15305.23</v>
      </c>
      <c r="QR4" s="10">
        <v>15679.69</v>
      </c>
      <c r="QS4" s="10">
        <v>16324.47</v>
      </c>
      <c r="QT4" s="10">
        <v>16711.61</v>
      </c>
      <c r="QU4" s="10">
        <v>17198.490000000002</v>
      </c>
      <c r="QV4" s="10">
        <v>17150.439999999999</v>
      </c>
      <c r="QW4" s="10">
        <v>17386.07</v>
      </c>
      <c r="QX4" s="10">
        <v>17369.060000000001</v>
      </c>
      <c r="QY4" s="10">
        <v>17032.169999999998</v>
      </c>
      <c r="QZ4" s="10">
        <v>16861</v>
      </c>
      <c r="RA4" s="10">
        <v>16387.62</v>
      </c>
      <c r="RB4" s="10">
        <v>16257.71</v>
      </c>
      <c r="RC4" s="10">
        <v>16177.82</v>
      </c>
      <c r="RD4" s="10">
        <v>16620.150000000001</v>
      </c>
      <c r="RE4" s="10">
        <v>16534.04</v>
      </c>
      <c r="RF4" s="10">
        <v>16982.79</v>
      </c>
      <c r="RG4" s="10">
        <v>16892.72</v>
      </c>
      <c r="RH4" s="10">
        <v>16948.95</v>
      </c>
      <c r="RI4" s="10">
        <v>17244.330000000002</v>
      </c>
      <c r="RJ4" s="10">
        <v>17192.79</v>
      </c>
      <c r="RK4" s="10">
        <v>17740.849999999999</v>
      </c>
      <c r="RL4" s="10">
        <v>17687.64</v>
      </c>
      <c r="RM4" s="10">
        <v>17769.509999999998</v>
      </c>
      <c r="RN4" s="10">
        <v>17667.77</v>
      </c>
      <c r="RO4" s="10">
        <v>17544.150000000001</v>
      </c>
      <c r="RP4" s="10">
        <v>17645.75</v>
      </c>
      <c r="RQ4" s="10">
        <v>17666.259999999998</v>
      </c>
      <c r="RR4" s="10">
        <v>17912.8</v>
      </c>
      <c r="RS4" s="10">
        <v>18586.46</v>
      </c>
      <c r="RT4" s="10">
        <v>18345.23</v>
      </c>
      <c r="RU4" s="10">
        <v>18155.79</v>
      </c>
      <c r="RV4" s="10">
        <v>17874.78</v>
      </c>
      <c r="RW4" s="10">
        <v>17739.04</v>
      </c>
      <c r="RX4" s="10">
        <v>17290.98</v>
      </c>
      <c r="RY4" s="10">
        <v>17077.509999999998</v>
      </c>
      <c r="RZ4" s="10">
        <v>17297.27</v>
      </c>
      <c r="SA4" s="10">
        <v>16916.939999999999</v>
      </c>
      <c r="SB4" s="10">
        <v>16447.849999999999</v>
      </c>
      <c r="SC4" s="10">
        <v>15911.43</v>
      </c>
      <c r="SD4" s="10">
        <v>15911.29</v>
      </c>
      <c r="SE4" s="10">
        <v>15992.99</v>
      </c>
      <c r="SF4" s="10">
        <v>15947.09</v>
      </c>
      <c r="SG4" s="10">
        <v>16195.61</v>
      </c>
      <c r="SH4" s="10">
        <v>16324.61</v>
      </c>
      <c r="SI4" s="10">
        <v>16619.21</v>
      </c>
      <c r="SJ4" s="10">
        <v>17109.3</v>
      </c>
      <c r="SK4" s="10">
        <v>17457.509999999998</v>
      </c>
      <c r="SL4" s="10">
        <v>17453.099999999999</v>
      </c>
      <c r="SM4" s="10">
        <v>17643.599999999999</v>
      </c>
      <c r="SN4" s="10">
        <v>17576.259999999998</v>
      </c>
      <c r="SO4" s="10">
        <v>17530.009999999998</v>
      </c>
      <c r="SP4" s="10">
        <v>17993.95</v>
      </c>
      <c r="SQ4" s="10">
        <v>18188.34</v>
      </c>
      <c r="SR4" s="10">
        <v>18476.18</v>
      </c>
      <c r="SS4" s="10">
        <v>18664.400000000001</v>
      </c>
      <c r="ST4" s="10">
        <v>18272.7</v>
      </c>
      <c r="SU4" s="10">
        <v>18626.099999999999</v>
      </c>
      <c r="SV4" s="10">
        <v>18806.11</v>
      </c>
      <c r="SW4" s="10">
        <v>18718.22</v>
      </c>
      <c r="SX4" s="10">
        <v>18211.59</v>
      </c>
      <c r="SY4" s="10">
        <v>17928.36</v>
      </c>
      <c r="SZ4" s="10">
        <v>18341.759999999998</v>
      </c>
      <c r="TA4" s="10">
        <v>18062.46</v>
      </c>
      <c r="TB4" s="10">
        <v>17791.62</v>
      </c>
      <c r="TC4" s="10">
        <v>18070.96</v>
      </c>
      <c r="TD4" s="10">
        <v>17851.523000000001</v>
      </c>
      <c r="TE4" s="10">
        <v>17271.619500000004</v>
      </c>
      <c r="TF4" s="10">
        <v>17620.593400000002</v>
      </c>
      <c r="TG4" s="10">
        <v>17952.159199999998</v>
      </c>
      <c r="TH4" s="10">
        <v>18259.794399999999</v>
      </c>
      <c r="TI4" s="10">
        <v>18350.175300000003</v>
      </c>
      <c r="TJ4" s="10">
        <v>18534.209000000003</v>
      </c>
      <c r="TK4" s="10">
        <v>18657.955600000005</v>
      </c>
      <c r="TL4" s="10">
        <v>18533.292600000001</v>
      </c>
      <c r="TM4" s="10">
        <v>18673.196199999998</v>
      </c>
      <c r="TN4" s="10">
        <v>18525.821599999999</v>
      </c>
      <c r="TO4" s="10">
        <v>18498.341099999998</v>
      </c>
      <c r="TP4" s="10">
        <v>18765.667400000002</v>
      </c>
      <c r="TQ4" s="10">
        <v>18853.097000000005</v>
      </c>
      <c r="TR4" s="10">
        <v>19022.881900000004</v>
      </c>
      <c r="TS4" s="10">
        <v>19214.633800000003</v>
      </c>
      <c r="TT4" s="10">
        <v>19364.540399999994</v>
      </c>
      <c r="TU4" s="10">
        <v>19366.871800000001</v>
      </c>
      <c r="TV4" s="10">
        <v>19047.1469</v>
      </c>
      <c r="TW4" s="10">
        <v>19342.205700000002</v>
      </c>
      <c r="TX4" s="10">
        <v>19456.211200000005</v>
      </c>
      <c r="TY4" s="10">
        <v>19286.8102</v>
      </c>
      <c r="TZ4" s="10">
        <v>19134.834399999996</v>
      </c>
      <c r="UA4" s="10">
        <v>19273.908300000003</v>
      </c>
      <c r="UB4" s="10">
        <v>19623.7608</v>
      </c>
      <c r="UC4" s="10">
        <v>20007.558100000002</v>
      </c>
      <c r="UD4" s="10">
        <v>20093.164900000003</v>
      </c>
      <c r="UE4" s="10">
        <v>19891.375500000006</v>
      </c>
      <c r="UF4" s="10">
        <v>20094.024400000006</v>
      </c>
      <c r="UG4" s="10">
        <v>20056.593499999999</v>
      </c>
      <c r="UH4" s="10">
        <v>20346.328500000007</v>
      </c>
      <c r="UI4" s="10">
        <v>20583.405599999998</v>
      </c>
      <c r="UJ4" s="10">
        <v>19868.872199999998</v>
      </c>
      <c r="UK4" s="10">
        <v>20063.8033</v>
      </c>
      <c r="UL4" s="10">
        <v>20118.201900000004</v>
      </c>
      <c r="UM4" s="10">
        <v>22683.996399999996</v>
      </c>
      <c r="UN4" s="10">
        <v>19938.719700000005</v>
      </c>
      <c r="UO4" s="10">
        <v>19816.2379</v>
      </c>
      <c r="UP4" s="10">
        <v>20072.351000000006</v>
      </c>
      <c r="UQ4" s="10">
        <v>20063.535400000001</v>
      </c>
      <c r="UR4" s="10">
        <v>19768.527500000004</v>
      </c>
      <c r="US4" s="10">
        <v>19906</v>
      </c>
      <c r="UT4" s="10">
        <v>19953</v>
      </c>
      <c r="UU4" s="10">
        <v>20131.639400000004</v>
      </c>
      <c r="UV4" s="10">
        <v>20022.752799999998</v>
      </c>
      <c r="UW4" s="10">
        <v>20307.580100000003</v>
      </c>
      <c r="UX4" s="10">
        <v>19776.806999999997</v>
      </c>
      <c r="UY4" s="10">
        <v>19894.0772</v>
      </c>
      <c r="UZ4" s="10">
        <v>19920.552300000003</v>
      </c>
      <c r="VA4" s="10">
        <v>19793.452999999998</v>
      </c>
      <c r="VB4" s="10">
        <v>19752.475900000001</v>
      </c>
      <c r="VC4" s="10">
        <v>19431.129099999995</v>
      </c>
      <c r="VD4" s="10">
        <v>19440.811099999995</v>
      </c>
      <c r="VE4" s="10">
        <v>18587</v>
      </c>
      <c r="VF4" s="10">
        <v>18597</v>
      </c>
      <c r="VG4" s="10">
        <v>18272.235099999994</v>
      </c>
      <c r="VH4" s="10">
        <v>18417.446199999995</v>
      </c>
      <c r="VI4" s="10">
        <v>18634.083299999998</v>
      </c>
      <c r="VJ4" s="10">
        <v>18173.824499999999</v>
      </c>
      <c r="VK4" s="10">
        <v>17984.217700000001</v>
      </c>
      <c r="VL4" s="10">
        <v>17322.057100000005</v>
      </c>
      <c r="VM4" s="10">
        <v>17555.876799999998</v>
      </c>
      <c r="VN4" s="10">
        <v>17389.9375</v>
      </c>
      <c r="VO4" s="10">
        <v>16907.666699999998</v>
      </c>
      <c r="VP4" s="10">
        <v>17167.5962</v>
      </c>
      <c r="VQ4" s="10">
        <v>16929.964199999999</v>
      </c>
      <c r="VR4" s="10">
        <v>17137.788100000002</v>
      </c>
      <c r="VS4" s="10">
        <v>17095.4791</v>
      </c>
      <c r="VT4" s="10">
        <v>16934.033299999999</v>
      </c>
      <c r="VU4" s="10">
        <v>16737.478999999996</v>
      </c>
      <c r="VV4" s="10">
        <v>16675.920600000001</v>
      </c>
      <c r="VW4" s="10">
        <v>16550.758199999997</v>
      </c>
      <c r="VX4" s="10">
        <v>16555.751199999999</v>
      </c>
      <c r="VY4" s="10">
        <v>16782.232700000004</v>
      </c>
      <c r="VZ4" s="10">
        <v>17042.591799999995</v>
      </c>
      <c r="WA4" s="10">
        <v>17042.591799999995</v>
      </c>
      <c r="WB4" s="10">
        <v>17469.797200000001</v>
      </c>
      <c r="WC4" s="10">
        <v>17459.305099999998</v>
      </c>
      <c r="WD4" s="10">
        <v>17453.655200000001</v>
      </c>
      <c r="WE4" s="10">
        <v>17080.025300000001</v>
      </c>
      <c r="WF4" s="10">
        <v>17192.9359</v>
      </c>
      <c r="WG4" s="10">
        <v>17056.983499999998</v>
      </c>
      <c r="WH4" s="10">
        <v>17450.938399999999</v>
      </c>
      <c r="WI4" s="10">
        <v>17944.540699999998</v>
      </c>
      <c r="WJ4" s="10">
        <v>17998.30650000001</v>
      </c>
      <c r="WK4" s="10">
        <v>17826.6819</v>
      </c>
      <c r="WL4" s="10">
        <v>17283.017899999999</v>
      </c>
      <c r="WM4" s="10">
        <v>17255.158700000004</v>
      </c>
      <c r="WN4" s="10">
        <v>16849.642199999998</v>
      </c>
      <c r="WO4" s="10">
        <v>16941.685400000002</v>
      </c>
      <c r="WP4" s="10">
        <v>16497.113099999999</v>
      </c>
      <c r="WQ4" s="10">
        <v>16425.5877</v>
      </c>
      <c r="WR4" s="10">
        <v>16660.641000000003</v>
      </c>
      <c r="WS4" s="10">
        <v>16603.7163</v>
      </c>
      <c r="WT4" s="10">
        <v>16915.2755</v>
      </c>
      <c r="WU4" s="10">
        <v>16844.626900000003</v>
      </c>
      <c r="WV4" s="10">
        <v>16767.397200000003</v>
      </c>
      <c r="WW4" s="10">
        <v>16856.621900000006</v>
      </c>
      <c r="WX4" s="10">
        <v>16512.965</v>
      </c>
      <c r="WY4" s="10">
        <v>15690.5911</v>
      </c>
      <c r="WZ4" s="10">
        <v>15960.494700000003</v>
      </c>
      <c r="XA4" s="10">
        <v>16469.441200000005</v>
      </c>
      <c r="XB4" s="10">
        <v>16808.358199999999</v>
      </c>
      <c r="XC4" s="10">
        <v>15515.129700000001</v>
      </c>
      <c r="XD4" s="10">
        <v>15506.822700000002</v>
      </c>
      <c r="XE4" s="10">
        <v>15439.306399999999</v>
      </c>
      <c r="XF4" s="10">
        <v>15282.947999999997</v>
      </c>
      <c r="XG4" s="10">
        <v>15661.5538</v>
      </c>
      <c r="XH4" s="10">
        <v>15197.556600000004</v>
      </c>
      <c r="XI4" s="10">
        <v>15197.2862</v>
      </c>
      <c r="XJ4" s="10">
        <v>14931.281200000003</v>
      </c>
      <c r="XK4" s="10">
        <v>14761.293300000001</v>
      </c>
      <c r="XL4" s="10">
        <v>14892.775100000001</v>
      </c>
      <c r="XM4" s="10">
        <v>15099.326099999995</v>
      </c>
      <c r="XN4" s="10">
        <v>15217.923600000002</v>
      </c>
      <c r="XO4" s="10">
        <v>14770.896400000005</v>
      </c>
      <c r="XP4" s="10">
        <v>14371.07</v>
      </c>
      <c r="XQ4" s="10">
        <v>14740.158100000004</v>
      </c>
      <c r="XR4" s="10">
        <v>14574.009900000003</v>
      </c>
      <c r="XS4" s="10">
        <v>14693.731300000003</v>
      </c>
      <c r="XT4" s="10">
        <v>14894.796699999999</v>
      </c>
      <c r="XU4" s="10">
        <v>15660.161599999996</v>
      </c>
      <c r="XV4" s="10">
        <v>15218.024400000002</v>
      </c>
      <c r="XW4" s="10">
        <v>15414.515399999997</v>
      </c>
      <c r="XX4" s="10">
        <v>15330.6836</v>
      </c>
      <c r="XY4" s="10">
        <v>15048.139600000002</v>
      </c>
      <c r="XZ4" s="10">
        <v>15230.121599999999</v>
      </c>
      <c r="YA4" s="10">
        <v>15100.8863</v>
      </c>
      <c r="YB4" s="10">
        <v>14902.655599999998</v>
      </c>
      <c r="YC4" s="10">
        <v>15202.460500000001</v>
      </c>
      <c r="YD4" s="10">
        <v>15033.326200000001</v>
      </c>
      <c r="YE4" s="10">
        <v>15362.322200000001</v>
      </c>
      <c r="YF4" s="10">
        <v>15352.7389</v>
      </c>
      <c r="YG4" s="10">
        <v>15603.951200000001</v>
      </c>
      <c r="YH4" s="10">
        <v>15641.294000000002</v>
      </c>
      <c r="YI4" s="10">
        <v>15224.412200000001</v>
      </c>
      <c r="YJ4" s="10">
        <v>15629.506899999998</v>
      </c>
      <c r="YK4" s="10">
        <v>15596.161800000002</v>
      </c>
      <c r="YL4" s="10">
        <v>15596.3349</v>
      </c>
      <c r="YM4" s="10">
        <v>15670.4755</v>
      </c>
      <c r="YN4" s="10">
        <v>15258.7227</v>
      </c>
      <c r="YO4" s="10">
        <v>15592.575500000001</v>
      </c>
      <c r="YP4" s="10">
        <v>15496.883100000001</v>
      </c>
      <c r="YQ4" s="10">
        <v>15780.193300000001</v>
      </c>
      <c r="YR4" s="102">
        <v>15780.193300000001</v>
      </c>
      <c r="YS4" s="10">
        <v>15399.922000000002</v>
      </c>
      <c r="YT4" s="10">
        <v>16034.396099999993</v>
      </c>
      <c r="YU4" s="10">
        <v>16349.545</v>
      </c>
      <c r="YV4" s="10">
        <v>16375.586699999998</v>
      </c>
      <c r="YW4" s="10">
        <v>16812.486399999991</v>
      </c>
      <c r="YX4" s="10">
        <v>16969.212600000003</v>
      </c>
      <c r="YY4" s="10">
        <v>16673.104599999999</v>
      </c>
      <c r="YZ4" s="10">
        <v>16569.891499999994</v>
      </c>
      <c r="ZA4" s="10">
        <v>15766.1446</v>
      </c>
      <c r="ZB4" s="10">
        <v>15845.441099999996</v>
      </c>
      <c r="ZC4" s="10">
        <v>15716.6168</v>
      </c>
      <c r="ZD4" s="10">
        <v>15773.380999999998</v>
      </c>
      <c r="ZE4" s="10">
        <v>15228.053499999998</v>
      </c>
      <c r="ZF4" s="10">
        <v>15306.1191</v>
      </c>
      <c r="ZG4" s="10">
        <v>15446.743999999999</v>
      </c>
      <c r="ZH4" s="10">
        <v>15822.773500000003</v>
      </c>
      <c r="ZI4" s="10">
        <v>15957.226100000007</v>
      </c>
      <c r="ZJ4" s="10">
        <v>16010.008099999999</v>
      </c>
      <c r="ZK4" s="10">
        <v>16257.083799999999</v>
      </c>
      <c r="ZL4" s="10">
        <v>16063.326199999998</v>
      </c>
      <c r="ZM4" s="10">
        <v>16503.948099999998</v>
      </c>
      <c r="ZN4" s="10">
        <v>16647.873299999992</v>
      </c>
      <c r="ZO4" s="10">
        <v>16635.176999999996</v>
      </c>
      <c r="ZP4" s="10">
        <v>17113.488199999996</v>
      </c>
      <c r="ZQ4" s="10">
        <v>17361.425899999995</v>
      </c>
      <c r="ZR4" s="10">
        <v>17336.1656</v>
      </c>
      <c r="ZS4" s="10">
        <v>16887.870499999994</v>
      </c>
      <c r="ZT4" s="10">
        <v>17342.474099999992</v>
      </c>
      <c r="ZU4" s="10">
        <v>17544.007699999995</v>
      </c>
      <c r="ZV4" s="10">
        <v>17512.164700000001</v>
      </c>
      <c r="ZW4" s="10">
        <v>17393.1263</v>
      </c>
      <c r="ZX4" s="10">
        <v>17171.649399999998</v>
      </c>
      <c r="ZY4" s="10">
        <v>16755.242100000003</v>
      </c>
      <c r="ZZ4" s="10">
        <v>16712.783599999999</v>
      </c>
      <c r="AAA4" s="10">
        <v>16490.767100000001</v>
      </c>
      <c r="AAB4" s="10">
        <v>16821.2857</v>
      </c>
      <c r="AAC4" s="10">
        <v>17138.899800000003</v>
      </c>
      <c r="AAD4" s="10">
        <v>17533.660399999997</v>
      </c>
      <c r="AAE4" s="10">
        <v>17640.428500000005</v>
      </c>
      <c r="AAF4" s="10">
        <v>17715.708299999998</v>
      </c>
      <c r="AAG4" s="10">
        <v>17928.057100000002</v>
      </c>
      <c r="AAH4" s="10">
        <v>17776.888800000001</v>
      </c>
      <c r="AAI4" s="10">
        <v>17483.025000000005</v>
      </c>
      <c r="AAJ4" s="10">
        <v>17283.977200000001</v>
      </c>
      <c r="AAK4" s="10">
        <v>17231.450500000006</v>
      </c>
      <c r="AAL4" s="10">
        <v>17310.479999999956</v>
      </c>
      <c r="AAM4" s="10">
        <v>17258.159999999902</v>
      </c>
      <c r="AAN4" s="10">
        <v>17412.056899999865</v>
      </c>
      <c r="AAO4" s="10">
        <v>17579.380599999844</v>
      </c>
      <c r="AAP4" s="10">
        <v>17543.073999999855</v>
      </c>
      <c r="AAQ4" s="10">
        <v>18169.744999999864</v>
      </c>
      <c r="AAR4" s="10">
        <v>18310.693399999858</v>
      </c>
      <c r="AAS4" s="10">
        <v>18372.881299999881</v>
      </c>
      <c r="AAT4" s="10">
        <v>17916.877499999882</v>
      </c>
      <c r="AAU4" s="10">
        <v>18330.772399999882</v>
      </c>
      <c r="AAV4" s="10">
        <v>18733.669299999892</v>
      </c>
      <c r="AAW4" s="10">
        <v>18862.204299999896</v>
      </c>
      <c r="AAX4" s="10">
        <v>18937.675199999903</v>
      </c>
      <c r="AAY4" s="10">
        <v>18071.055099999925</v>
      </c>
      <c r="AAZ4" s="10">
        <v>18222.676999999945</v>
      </c>
      <c r="ABA4" s="10">
        <v>18518.333399999941</v>
      </c>
      <c r="ABB4" s="10">
        <v>18700.712999999952</v>
      </c>
      <c r="ABC4" s="10">
        <v>18284.739299999957</v>
      </c>
      <c r="ABD4" s="10">
        <v>17457.646699999968</v>
      </c>
      <c r="ABF4" s="113" t="s">
        <v>64</v>
      </c>
      <c r="ABG4" s="10">
        <v>10792.294</v>
      </c>
      <c r="ABH4" s="9">
        <f t="shared" si="0"/>
        <v>1</v>
      </c>
      <c r="ABI4" s="126">
        <f>IF((ABN4*0.93)-ABG4&lt;0,0,(ABN4*0.93)-ABG4)</f>
        <v>0</v>
      </c>
      <c r="ABJ4" s="48"/>
      <c r="ABK4" s="10">
        <f t="shared" si="1"/>
        <v>0</v>
      </c>
      <c r="ABL4" s="113" t="s">
        <v>64</v>
      </c>
      <c r="ABM4" s="8" t="s">
        <v>47</v>
      </c>
      <c r="ABN4" s="78">
        <f>9500+750</f>
        <v>10250</v>
      </c>
      <c r="ABO4" s="7">
        <v>100000</v>
      </c>
      <c r="ABP4" s="236" t="s">
        <v>116</v>
      </c>
      <c r="ABQ4" t="s">
        <v>49</v>
      </c>
      <c r="ABR4" t="s">
        <v>112</v>
      </c>
      <c r="ABS4" t="s">
        <v>117</v>
      </c>
    </row>
    <row r="5" spans="1:769" x14ac:dyDescent="0.25">
      <c r="A5" s="6" t="s">
        <v>52</v>
      </c>
      <c r="B5" s="8" t="s">
        <v>47</v>
      </c>
      <c r="C5" s="7">
        <v>2000</v>
      </c>
      <c r="D5" s="7">
        <v>750</v>
      </c>
      <c r="E5" s="7">
        <v>790</v>
      </c>
      <c r="F5" s="7">
        <v>729</v>
      </c>
      <c r="G5" s="7">
        <v>720</v>
      </c>
      <c r="H5" s="7">
        <v>724</v>
      </c>
      <c r="I5" s="7">
        <v>684</v>
      </c>
      <c r="J5" s="7">
        <v>626</v>
      </c>
      <c r="K5" s="7">
        <f>J5</f>
        <v>626</v>
      </c>
      <c r="L5" s="7">
        <f>K5</f>
        <v>626</v>
      </c>
      <c r="M5" s="7">
        <v>511</v>
      </c>
      <c r="N5" s="7">
        <v>544</v>
      </c>
      <c r="O5" s="7">
        <v>719</v>
      </c>
      <c r="P5" s="7">
        <f>O5</f>
        <v>719</v>
      </c>
      <c r="Q5" s="7">
        <v>871</v>
      </c>
      <c r="R5" s="7">
        <v>901</v>
      </c>
      <c r="S5" s="7">
        <v>869</v>
      </c>
      <c r="T5" s="7">
        <v>975</v>
      </c>
      <c r="U5" s="7">
        <v>983</v>
      </c>
      <c r="V5" s="7">
        <v>972</v>
      </c>
      <c r="W5" s="7"/>
      <c r="X5" s="7"/>
      <c r="Y5" s="7">
        <v>1073</v>
      </c>
      <c r="Z5" s="7">
        <v>1079</v>
      </c>
      <c r="AA5" s="7">
        <v>1110</v>
      </c>
      <c r="AB5" s="7">
        <v>1110</v>
      </c>
      <c r="AC5" s="7">
        <v>1212</v>
      </c>
      <c r="AD5" s="7"/>
      <c r="AE5" s="7">
        <v>1238</v>
      </c>
      <c r="AF5" s="7">
        <v>1240</v>
      </c>
      <c r="AG5" s="7">
        <v>1272</v>
      </c>
      <c r="AH5" s="7">
        <v>1328</v>
      </c>
      <c r="AI5" s="7">
        <v>1328</v>
      </c>
      <c r="AJ5" s="7">
        <v>1385</v>
      </c>
      <c r="AK5" s="7">
        <v>1359</v>
      </c>
      <c r="AL5" s="7">
        <v>1406</v>
      </c>
      <c r="AM5" s="7">
        <v>1406</v>
      </c>
      <c r="AN5" s="7">
        <v>1342</v>
      </c>
      <c r="AO5" s="7">
        <v>1342</v>
      </c>
      <c r="AP5" s="7">
        <v>1328</v>
      </c>
      <c r="AQ5" s="7">
        <v>1180</v>
      </c>
      <c r="AR5" s="7">
        <v>1180</v>
      </c>
      <c r="AS5" s="7">
        <v>972</v>
      </c>
      <c r="AT5" s="7">
        <v>1090</v>
      </c>
      <c r="AU5" s="7">
        <v>1059</v>
      </c>
      <c r="AV5" s="7">
        <v>998</v>
      </c>
      <c r="AW5" s="7">
        <v>998</v>
      </c>
      <c r="AX5" s="7">
        <v>983</v>
      </c>
      <c r="AY5" s="7">
        <v>983</v>
      </c>
      <c r="AZ5" s="7">
        <v>965</v>
      </c>
      <c r="BA5" s="7">
        <v>1092</v>
      </c>
      <c r="BB5" s="7">
        <v>1120</v>
      </c>
      <c r="BC5" s="7">
        <v>1116</v>
      </c>
      <c r="BD5" s="7">
        <v>1059</v>
      </c>
      <c r="BE5" s="7">
        <v>1005</v>
      </c>
      <c r="BF5" s="7">
        <v>949</v>
      </c>
      <c r="BG5" s="7">
        <v>922</v>
      </c>
      <c r="BH5" s="7">
        <v>924</v>
      </c>
      <c r="BI5" s="7">
        <v>886</v>
      </c>
      <c r="BJ5" s="7">
        <v>890</v>
      </c>
      <c r="BK5" s="7">
        <v>881</v>
      </c>
      <c r="BL5" s="7">
        <v>977</v>
      </c>
      <c r="BM5" s="7">
        <v>980</v>
      </c>
      <c r="BN5" s="7">
        <v>943</v>
      </c>
      <c r="BO5" s="7">
        <v>942</v>
      </c>
      <c r="BP5" s="7">
        <v>942</v>
      </c>
      <c r="BQ5" s="7">
        <v>953</v>
      </c>
      <c r="BR5" s="7">
        <v>960</v>
      </c>
      <c r="BS5" s="7">
        <v>975</v>
      </c>
      <c r="BT5" s="7">
        <v>979</v>
      </c>
      <c r="BU5" s="7">
        <v>952</v>
      </c>
      <c r="BV5" s="7">
        <v>941</v>
      </c>
      <c r="BW5" s="7">
        <v>959</v>
      </c>
      <c r="BX5" s="7">
        <v>962</v>
      </c>
      <c r="BY5" s="7">
        <v>987</v>
      </c>
      <c r="BZ5" s="7">
        <v>970</v>
      </c>
      <c r="CA5" s="7">
        <v>903</v>
      </c>
      <c r="CB5" s="7">
        <v>909</v>
      </c>
      <c r="CC5" s="7">
        <v>897</v>
      </c>
      <c r="CD5" s="7">
        <v>878</v>
      </c>
      <c r="CE5" s="7">
        <v>873</v>
      </c>
      <c r="CF5" s="7">
        <v>870</v>
      </c>
      <c r="CG5" s="7">
        <v>865</v>
      </c>
      <c r="CH5" s="7">
        <v>870</v>
      </c>
      <c r="CI5" s="7">
        <v>867</v>
      </c>
      <c r="CJ5" s="7">
        <v>870</v>
      </c>
      <c r="CK5" s="7">
        <v>880</v>
      </c>
      <c r="CL5" s="7">
        <v>994</v>
      </c>
      <c r="CM5" s="7">
        <v>777</v>
      </c>
      <c r="CN5" s="7">
        <v>974</v>
      </c>
      <c r="CO5" s="7">
        <v>1039</v>
      </c>
      <c r="CP5" s="7">
        <v>1167</v>
      </c>
      <c r="CQ5" s="7">
        <v>1169</v>
      </c>
      <c r="CR5" s="7">
        <v>1147</v>
      </c>
      <c r="CS5" s="7">
        <v>1176</v>
      </c>
      <c r="CT5" s="7">
        <v>1189</v>
      </c>
      <c r="CU5" s="7">
        <v>1302</v>
      </c>
      <c r="CV5" s="7">
        <v>1284</v>
      </c>
      <c r="CW5" s="7">
        <v>911</v>
      </c>
      <c r="CX5" s="7"/>
      <c r="CY5" s="7">
        <v>824</v>
      </c>
      <c r="CZ5" s="7"/>
      <c r="DA5" s="7">
        <v>1152</v>
      </c>
      <c r="DB5" s="7">
        <v>1171</v>
      </c>
      <c r="DC5" s="7">
        <v>1034</v>
      </c>
      <c r="DD5" s="7">
        <v>964</v>
      </c>
      <c r="DE5" s="7">
        <v>952</v>
      </c>
      <c r="DF5" s="7"/>
      <c r="DG5" s="7"/>
      <c r="DH5" s="7"/>
      <c r="DI5" s="7"/>
      <c r="DJ5" s="7">
        <v>1507</v>
      </c>
      <c r="DK5" s="7"/>
      <c r="DL5" s="7">
        <v>1509</v>
      </c>
      <c r="DM5" s="7">
        <v>1816</v>
      </c>
      <c r="DN5" s="7">
        <v>1711</v>
      </c>
      <c r="DO5" s="7"/>
      <c r="DP5" s="7">
        <v>1801</v>
      </c>
      <c r="DQ5" s="7"/>
      <c r="DR5" s="7">
        <v>1733</v>
      </c>
      <c r="DS5" s="7"/>
      <c r="DT5" s="7">
        <v>1713</v>
      </c>
      <c r="DU5" s="7">
        <v>1613</v>
      </c>
      <c r="DV5" s="7">
        <v>1655</v>
      </c>
      <c r="DW5" s="7">
        <v>1635</v>
      </c>
      <c r="DX5" s="7">
        <v>1593</v>
      </c>
      <c r="DY5" s="7">
        <v>1572</v>
      </c>
      <c r="DZ5" s="7">
        <v>1541</v>
      </c>
      <c r="EA5" s="10">
        <v>1549.74</v>
      </c>
      <c r="EB5" s="10"/>
      <c r="EC5" s="10"/>
      <c r="ED5" s="10">
        <v>1539</v>
      </c>
      <c r="EE5" s="10">
        <v>1557</v>
      </c>
      <c r="EF5" s="10">
        <v>1557</v>
      </c>
      <c r="EG5" s="10">
        <v>1583</v>
      </c>
      <c r="EH5" s="10">
        <v>1562</v>
      </c>
      <c r="EI5" s="10">
        <v>1585</v>
      </c>
      <c r="EJ5" s="10">
        <v>1514</v>
      </c>
      <c r="EK5" s="10">
        <v>1417</v>
      </c>
      <c r="EL5" s="10"/>
      <c r="EM5" s="10"/>
      <c r="EN5" s="10">
        <v>1433</v>
      </c>
      <c r="EO5" s="10">
        <v>1436</v>
      </c>
      <c r="EP5" s="10">
        <v>1423</v>
      </c>
      <c r="EQ5" s="10"/>
      <c r="ER5" s="10">
        <v>1440</v>
      </c>
      <c r="ES5" s="10">
        <v>1333</v>
      </c>
      <c r="ET5" s="10"/>
      <c r="EU5" s="10">
        <v>1325</v>
      </c>
      <c r="EV5" s="10">
        <v>1305</v>
      </c>
      <c r="EW5" s="10">
        <v>1437</v>
      </c>
      <c r="EX5" s="10">
        <v>1371</v>
      </c>
      <c r="EY5" s="10">
        <v>1458</v>
      </c>
      <c r="EZ5" s="10">
        <v>1625</v>
      </c>
      <c r="FA5" s="10">
        <v>1631</v>
      </c>
      <c r="FB5" s="10">
        <v>1599</v>
      </c>
      <c r="FC5" s="10"/>
      <c r="FD5" s="10">
        <v>1586</v>
      </c>
      <c r="FE5" s="10">
        <v>1514</v>
      </c>
      <c r="FF5" s="10">
        <v>1507</v>
      </c>
      <c r="FG5" s="10">
        <v>1424</v>
      </c>
      <c r="FH5" s="10"/>
      <c r="FI5" s="10">
        <v>1488</v>
      </c>
      <c r="FJ5" s="10">
        <v>1492</v>
      </c>
      <c r="FK5" s="10">
        <v>1495</v>
      </c>
      <c r="FL5" s="10">
        <v>1515</v>
      </c>
      <c r="FM5" s="10">
        <v>1465</v>
      </c>
      <c r="FN5" s="10">
        <v>1468</v>
      </c>
      <c r="FO5" s="10">
        <v>1424</v>
      </c>
      <c r="FP5" s="10">
        <v>1472</v>
      </c>
      <c r="FQ5" s="10">
        <v>1416</v>
      </c>
      <c r="FR5" s="10">
        <v>1372</v>
      </c>
      <c r="FS5" s="10">
        <v>1342</v>
      </c>
      <c r="FT5" s="10"/>
      <c r="FU5" s="10">
        <v>1343</v>
      </c>
      <c r="FV5" s="10">
        <v>1364</v>
      </c>
      <c r="FW5" s="10">
        <v>1411</v>
      </c>
      <c r="FX5" s="10">
        <v>1356</v>
      </c>
      <c r="FY5" s="10"/>
      <c r="FZ5" s="10"/>
      <c r="GA5" s="10">
        <v>1395</v>
      </c>
      <c r="GB5" s="10">
        <v>1378</v>
      </c>
      <c r="GC5" s="10">
        <v>1467</v>
      </c>
      <c r="GD5" s="10">
        <v>1376</v>
      </c>
      <c r="GE5" s="10">
        <v>1393</v>
      </c>
      <c r="GF5" s="10">
        <v>1360</v>
      </c>
      <c r="GG5" s="10">
        <v>1413</v>
      </c>
      <c r="GH5" s="10">
        <v>1322</v>
      </c>
      <c r="GI5" s="10">
        <v>1322</v>
      </c>
      <c r="GJ5" s="10">
        <v>1322</v>
      </c>
      <c r="GK5" s="10">
        <v>1286</v>
      </c>
      <c r="GL5" s="10">
        <v>1514</v>
      </c>
      <c r="GM5" s="10">
        <v>1511</v>
      </c>
      <c r="GN5" s="10">
        <v>1492</v>
      </c>
      <c r="GO5" s="10">
        <v>1492</v>
      </c>
      <c r="GP5" s="10">
        <v>1475</v>
      </c>
      <c r="GQ5" s="10">
        <v>1487</v>
      </c>
      <c r="GR5" s="10">
        <v>1487</v>
      </c>
      <c r="GS5" s="10">
        <v>1463</v>
      </c>
      <c r="GT5" s="10">
        <v>1400</v>
      </c>
      <c r="GU5" s="10">
        <v>1394</v>
      </c>
      <c r="GV5" s="10">
        <v>1437</v>
      </c>
      <c r="GW5" s="10">
        <v>1440</v>
      </c>
      <c r="GX5" s="10">
        <v>1428</v>
      </c>
      <c r="GY5" s="10">
        <v>1402</v>
      </c>
      <c r="GZ5" s="10">
        <v>1402</v>
      </c>
      <c r="HA5" s="10">
        <v>1391</v>
      </c>
      <c r="HB5" s="10">
        <v>1391</v>
      </c>
      <c r="HC5" s="10">
        <v>1385</v>
      </c>
      <c r="HD5" s="10">
        <v>1391</v>
      </c>
      <c r="HE5" s="10">
        <v>1381</v>
      </c>
      <c r="HF5" s="10">
        <v>1373</v>
      </c>
      <c r="HG5" s="10">
        <v>1535</v>
      </c>
      <c r="HH5" s="10">
        <v>1604</v>
      </c>
      <c r="HI5" s="10">
        <v>1605</v>
      </c>
      <c r="HJ5" s="10">
        <v>1616</v>
      </c>
      <c r="HK5" s="10">
        <v>1615</v>
      </c>
      <c r="HL5" s="10">
        <v>1678</v>
      </c>
      <c r="HM5" s="10">
        <v>1670</v>
      </c>
      <c r="HN5" s="10">
        <v>1679</v>
      </c>
      <c r="HO5" s="10">
        <v>743</v>
      </c>
      <c r="HP5" s="10">
        <v>837</v>
      </c>
      <c r="HQ5" s="10">
        <v>958</v>
      </c>
      <c r="HR5" s="10">
        <v>885</v>
      </c>
      <c r="HS5" s="10">
        <v>1058</v>
      </c>
      <c r="HT5" s="10">
        <v>1068</v>
      </c>
      <c r="HU5" s="10">
        <v>1009</v>
      </c>
      <c r="HV5" s="10">
        <v>999.68</v>
      </c>
      <c r="HW5" s="10">
        <v>844</v>
      </c>
      <c r="HX5" s="10">
        <v>894</v>
      </c>
      <c r="HY5" s="10">
        <v>861</v>
      </c>
      <c r="HZ5" s="10">
        <v>813</v>
      </c>
      <c r="IA5" s="10">
        <v>763</v>
      </c>
      <c r="IB5" s="10">
        <v>842</v>
      </c>
      <c r="IC5" s="10">
        <v>699</v>
      </c>
      <c r="ID5" s="10">
        <v>746</v>
      </c>
      <c r="IE5" s="10">
        <v>713</v>
      </c>
      <c r="IF5" s="10">
        <v>625</v>
      </c>
      <c r="IG5" s="10">
        <v>675</v>
      </c>
      <c r="IH5" s="10">
        <v>726</v>
      </c>
      <c r="II5" s="10">
        <v>808</v>
      </c>
      <c r="IJ5" s="10">
        <v>755</v>
      </c>
      <c r="IK5" s="10">
        <v>692</v>
      </c>
      <c r="IL5" s="10">
        <v>707</v>
      </c>
      <c r="IM5" s="10">
        <v>707</v>
      </c>
      <c r="IN5" s="10">
        <v>607</v>
      </c>
      <c r="IO5" s="10">
        <v>596</v>
      </c>
      <c r="IP5" s="10">
        <v>596</v>
      </c>
      <c r="IQ5" s="10">
        <v>572</v>
      </c>
      <c r="IR5" s="10">
        <v>551</v>
      </c>
      <c r="IS5" s="10">
        <v>551</v>
      </c>
      <c r="IT5" s="10">
        <v>551</v>
      </c>
      <c r="IU5" s="10">
        <v>551</v>
      </c>
      <c r="IV5" s="10">
        <v>551</v>
      </c>
      <c r="IW5" s="10">
        <v>551</v>
      </c>
      <c r="IX5" s="10">
        <v>551</v>
      </c>
      <c r="IY5" s="10">
        <v>551</v>
      </c>
      <c r="IZ5" s="10">
        <v>578</v>
      </c>
      <c r="JA5" s="10">
        <v>766</v>
      </c>
      <c r="JB5" s="10">
        <v>837</v>
      </c>
      <c r="JC5" s="10">
        <v>858</v>
      </c>
      <c r="JD5" s="10">
        <v>1030</v>
      </c>
      <c r="JE5" s="10">
        <v>1117</v>
      </c>
      <c r="JF5" s="10">
        <v>1049</v>
      </c>
      <c r="JG5" s="10">
        <v>1051</v>
      </c>
      <c r="JH5" s="10">
        <v>1075</v>
      </c>
      <c r="JI5" s="10">
        <v>1071</v>
      </c>
      <c r="JJ5" s="10">
        <v>1115</v>
      </c>
      <c r="JK5" s="10">
        <v>1104</v>
      </c>
      <c r="JL5" s="10">
        <v>1106</v>
      </c>
      <c r="JM5" s="10">
        <v>1101</v>
      </c>
      <c r="JN5" s="10">
        <v>1132</v>
      </c>
      <c r="JO5" s="10">
        <v>1207</v>
      </c>
      <c r="JP5" s="10">
        <v>1240</v>
      </c>
      <c r="JQ5" s="10">
        <v>1240</v>
      </c>
      <c r="JR5" s="10">
        <v>1236</v>
      </c>
      <c r="JS5" s="10">
        <v>1241</v>
      </c>
      <c r="JT5" s="10">
        <v>1277</v>
      </c>
      <c r="JU5" s="10">
        <v>1332</v>
      </c>
      <c r="JV5" s="10">
        <v>1473</v>
      </c>
      <c r="JW5" s="102">
        <v>1478</v>
      </c>
      <c r="JX5" s="475"/>
      <c r="JY5" s="24" t="s">
        <v>52</v>
      </c>
      <c r="JZ5" s="6" t="s">
        <v>47</v>
      </c>
      <c r="KA5" s="15"/>
      <c r="KB5" s="6" t="s">
        <v>52</v>
      </c>
      <c r="KC5" s="10">
        <v>1484</v>
      </c>
      <c r="KD5" s="10">
        <v>1137</v>
      </c>
      <c r="KE5" s="10">
        <v>714</v>
      </c>
      <c r="KF5" s="10">
        <v>794</v>
      </c>
      <c r="KG5" s="10">
        <v>733</v>
      </c>
      <c r="KH5" s="10">
        <v>644</v>
      </c>
      <c r="KI5" s="10">
        <v>617</v>
      </c>
      <c r="KJ5" s="10">
        <v>623</v>
      </c>
      <c r="KK5" s="122"/>
      <c r="KL5" s="109" t="s">
        <v>118</v>
      </c>
      <c r="KM5" s="10">
        <f>2523-12.6</f>
        <v>2510.4</v>
      </c>
      <c r="KN5" s="10">
        <f>2681-12.6</f>
        <v>2668.4</v>
      </c>
      <c r="KO5" s="10">
        <f>2664-12.6</f>
        <v>2651.4</v>
      </c>
      <c r="KP5" s="10">
        <f>2657-12.6</f>
        <v>2644.4</v>
      </c>
      <c r="KQ5" s="10">
        <f>2657-12.6</f>
        <v>2644.4</v>
      </c>
      <c r="KR5" s="10">
        <f>2765-12.6</f>
        <v>2752.4</v>
      </c>
      <c r="KS5" s="10">
        <f>2927-12.6</f>
        <v>2914.4</v>
      </c>
      <c r="KT5" s="10">
        <f>3081-12.6</f>
        <v>3068.4</v>
      </c>
      <c r="KU5" s="10">
        <f>2943-12.6</f>
        <v>2930.4</v>
      </c>
      <c r="KV5" s="10">
        <f>3077-12.6</f>
        <v>3064.4</v>
      </c>
      <c r="KW5" s="10">
        <f>3230-12.6</f>
        <v>3217.4</v>
      </c>
      <c r="KX5" s="10">
        <f>3458-12.6</f>
        <v>3445.4</v>
      </c>
      <c r="KY5" s="10">
        <f>3169-12.6</f>
        <v>3156.4</v>
      </c>
      <c r="KZ5" s="10">
        <f>3140-12.6</f>
        <v>3127.4</v>
      </c>
      <c r="LA5" s="10">
        <f>3140-12.6</f>
        <v>3127.4</v>
      </c>
      <c r="LB5" s="10">
        <f>3511-12.6</f>
        <v>3498.4</v>
      </c>
      <c r="LC5" s="10">
        <f>3355-12.6</f>
        <v>3342.4</v>
      </c>
      <c r="LD5" s="10">
        <f>3257-12.6</f>
        <v>3244.4</v>
      </c>
      <c r="LE5" s="10">
        <f>3212-12.6</f>
        <v>3199.4</v>
      </c>
      <c r="LF5" s="10">
        <f>3387-12.6</f>
        <v>3374.4</v>
      </c>
      <c r="LG5" s="10">
        <f>3763</f>
        <v>3763</v>
      </c>
      <c r="LH5" s="10">
        <f>3669</f>
        <v>3669</v>
      </c>
      <c r="LI5" s="10">
        <f>3380</f>
        <v>3380</v>
      </c>
      <c r="LJ5" s="10">
        <f>3375</f>
        <v>3375</v>
      </c>
      <c r="LK5" s="10">
        <f>3681</f>
        <v>3681</v>
      </c>
      <c r="LL5" s="10">
        <f>3737</f>
        <v>3737</v>
      </c>
      <c r="LM5" s="10">
        <f>3621</f>
        <v>3621</v>
      </c>
      <c r="LN5" s="10">
        <f>3282-88.3</f>
        <v>3193.7</v>
      </c>
      <c r="LO5" s="10">
        <f>3363-88.3</f>
        <v>3274.7</v>
      </c>
      <c r="LP5" s="10">
        <f>3670-88.3</f>
        <v>3581.7</v>
      </c>
      <c r="LQ5" s="10">
        <f>3687-88.3</f>
        <v>3598.7</v>
      </c>
      <c r="LR5" s="10">
        <f>3509-88.3</f>
        <v>3420.7</v>
      </c>
      <c r="LS5" s="10">
        <f>3154-88.3</f>
        <v>3065.7</v>
      </c>
      <c r="LT5" s="10">
        <f>3149-87.96</f>
        <v>3061.04</v>
      </c>
      <c r="LU5" s="10">
        <f>3438-87.6</f>
        <v>3350.4</v>
      </c>
      <c r="LV5" s="10">
        <f>3017-87.6</f>
        <v>2929.4</v>
      </c>
      <c r="LW5" s="10">
        <f>3017-87.6</f>
        <v>2929.4</v>
      </c>
      <c r="LX5" s="10">
        <f>3240-87.6</f>
        <v>3152.4</v>
      </c>
      <c r="LY5" s="10">
        <f>3433-87.6</f>
        <v>3345.4</v>
      </c>
      <c r="LZ5" s="10">
        <f>3193-87.6</f>
        <v>3105.4</v>
      </c>
      <c r="MA5" s="10">
        <f>3262-84.86</f>
        <v>3177.14</v>
      </c>
      <c r="MB5" s="10">
        <f>3326-83.6</f>
        <v>3242.4</v>
      </c>
      <c r="MC5" s="10">
        <f>3171-83.6</f>
        <v>3087.4</v>
      </c>
      <c r="MD5" s="10">
        <f>2751-83.6</f>
        <v>2667.4</v>
      </c>
      <c r="ME5" s="10">
        <f>2751-83.6</f>
        <v>2667.4</v>
      </c>
      <c r="MF5" s="10">
        <f>3039-83.6</f>
        <v>2955.4</v>
      </c>
      <c r="MG5" s="10">
        <f>2900-83.6</f>
        <v>2816.4</v>
      </c>
      <c r="MH5" s="10">
        <f>2766-83.6</f>
        <v>2682.4</v>
      </c>
      <c r="MI5" s="10">
        <f>2571-83.6</f>
        <v>2487.4</v>
      </c>
      <c r="MJ5" s="10">
        <f>2571-77.79</f>
        <v>2493.21</v>
      </c>
      <c r="MK5" s="10">
        <f>2687-75.53</f>
        <v>2611.4699999999998</v>
      </c>
      <c r="ML5" s="10">
        <f>2845-75.35</f>
        <v>2769.65</v>
      </c>
      <c r="MM5" s="10">
        <f>2643-75.35</f>
        <v>2567.65</v>
      </c>
      <c r="MN5" s="10">
        <f>2841-74.65</f>
        <v>2766.35</v>
      </c>
      <c r="MO5" s="10">
        <f>2544-74.65</f>
        <v>2469.35</v>
      </c>
      <c r="MP5" s="10">
        <f>2612-74.65</f>
        <v>2537.35</v>
      </c>
      <c r="MQ5" s="10">
        <f>2704-74.65</f>
        <v>2629.35</v>
      </c>
      <c r="MR5" s="10">
        <f>2704-63.5</f>
        <v>2640.5</v>
      </c>
      <c r="MS5" s="10">
        <f>2936-58.55</f>
        <v>2877.45</v>
      </c>
      <c r="MT5" s="10">
        <f>2927-58.55</f>
        <v>2868.45</v>
      </c>
      <c r="MU5" s="10">
        <f>2827-54.7</f>
        <v>2772.3</v>
      </c>
      <c r="MV5" s="10">
        <f>2571-54.7</f>
        <v>2516.3000000000002</v>
      </c>
      <c r="MW5" s="10">
        <f>2714-54.7</f>
        <v>2659.3</v>
      </c>
      <c r="MX5" s="10">
        <f>2737-54.7</f>
        <v>2682.3</v>
      </c>
      <c r="MY5" s="10">
        <f>3022-54.7</f>
        <v>2967.3</v>
      </c>
      <c r="MZ5" s="10">
        <f>3107-132.59</f>
        <v>2974.41</v>
      </c>
      <c r="NA5" s="10">
        <f>3206-131.15</f>
        <v>3074.85</v>
      </c>
      <c r="NB5" s="10">
        <f>3558-131.15</f>
        <v>3426.85</v>
      </c>
      <c r="NC5" s="10">
        <f>3537-131.15</f>
        <v>3405.85</v>
      </c>
      <c r="ND5" s="10">
        <f>3506-131.15</f>
        <v>3374.85</v>
      </c>
      <c r="NE5" s="10">
        <f>3219-124.85</f>
        <v>3094.15</v>
      </c>
      <c r="NF5" s="10">
        <f>3877-124.01</f>
        <v>3752.99</v>
      </c>
      <c r="NG5" s="10">
        <f>3969-122.75</f>
        <v>3846.25</v>
      </c>
      <c r="NH5" s="10">
        <f>3851-122.75</f>
        <v>3728.25</v>
      </c>
      <c r="NI5" s="10">
        <f>3557-122.75</f>
        <v>3434.25</v>
      </c>
      <c r="NJ5" s="10">
        <f>3796-104.65</f>
        <v>3691.35</v>
      </c>
      <c r="NK5" s="10">
        <f>4102-103.75</f>
        <v>3998.25</v>
      </c>
      <c r="NL5" s="10">
        <f>4201-103.75</f>
        <v>4097.25</v>
      </c>
      <c r="NM5" s="10">
        <f>4264-99.9</f>
        <v>4164.1000000000004</v>
      </c>
      <c r="NN5" s="10">
        <f>3740-93.55</f>
        <v>3646.45</v>
      </c>
      <c r="NO5" s="10">
        <f>3794-93.55</f>
        <v>3700.45</v>
      </c>
      <c r="NP5" s="10">
        <f>4134-89.72</f>
        <v>4044.28</v>
      </c>
      <c r="NQ5" s="10">
        <f>4173-89</f>
        <v>4084</v>
      </c>
      <c r="NR5" s="10">
        <f>4153-89</f>
        <v>4064</v>
      </c>
      <c r="NS5" s="10">
        <f>3733-88.68</f>
        <v>3644.32</v>
      </c>
      <c r="NT5" s="10">
        <f>3733-88.65</f>
        <v>3644.35</v>
      </c>
      <c r="NU5" s="10">
        <f>3907-88.65</f>
        <v>3818.35</v>
      </c>
      <c r="NV5" s="10">
        <f>4050-82.97</f>
        <v>3967.03</v>
      </c>
      <c r="NW5" s="10">
        <f>4147-81.35</f>
        <v>4065.65</v>
      </c>
      <c r="NX5" s="10">
        <f>3888-81.35</f>
        <v>3806.65</v>
      </c>
      <c r="NY5" s="10">
        <f>3888-81.35</f>
        <v>3806.65</v>
      </c>
      <c r="NZ5" s="10">
        <f>4026-81.35</f>
        <v>3944.65</v>
      </c>
      <c r="OA5" s="10">
        <f>4081-81.35</f>
        <v>3999.65</v>
      </c>
      <c r="OB5" s="10">
        <f>3695-79.25</f>
        <v>3615.75</v>
      </c>
      <c r="OC5" s="10">
        <f>3793-79.25</f>
        <v>3713.75</v>
      </c>
      <c r="OD5" s="10">
        <f>4008-79.25</f>
        <v>3928.75</v>
      </c>
      <c r="OE5" s="10">
        <f>4121-79.25</f>
        <v>4041.75</v>
      </c>
      <c r="OF5" s="10">
        <f>4323-79.25</f>
        <v>4243.75</v>
      </c>
      <c r="OG5" s="10">
        <f>4292-79.25</f>
        <v>4212.75</v>
      </c>
      <c r="OH5" s="10">
        <f>4292-77.42</f>
        <v>4214.58</v>
      </c>
      <c r="OI5" s="10">
        <f>4533-76.7</f>
        <v>4456.3</v>
      </c>
      <c r="OJ5" s="10">
        <f>4604-76.7</f>
        <v>4527.3</v>
      </c>
      <c r="OK5" s="10">
        <f>4767-76.71</f>
        <v>4690.29</v>
      </c>
      <c r="OL5" s="10">
        <f>4777-70.77</f>
        <v>4706.2299999999996</v>
      </c>
      <c r="OM5" s="10">
        <f>4704-70.05</f>
        <v>4633.95</v>
      </c>
      <c r="ON5" s="10">
        <f>4397-70.05</f>
        <v>4326.95</v>
      </c>
      <c r="OO5" s="10">
        <f>4397-70.05</f>
        <v>4326.95</v>
      </c>
      <c r="OP5" s="10">
        <f>4559.72-70.05</f>
        <v>4489.67</v>
      </c>
      <c r="OQ5" s="10">
        <f>4451.16-70.05</f>
        <v>4381.1099999999997</v>
      </c>
      <c r="OR5" s="10">
        <f>4337.6-70.05</f>
        <v>4267.55</v>
      </c>
      <c r="OS5" s="10">
        <f>4454.74-70.05</f>
        <v>4384.6899999999996</v>
      </c>
      <c r="OT5" s="10">
        <f>4229.53-70.05</f>
        <v>4159.4799999999996</v>
      </c>
      <c r="OU5" s="10">
        <f>4082.03-79.462</f>
        <v>4002.5680000000002</v>
      </c>
      <c r="OV5" s="10">
        <f>4165.92-68.459</f>
        <v>4097.4610000000002</v>
      </c>
      <c r="OW5" s="10">
        <f>4451.841</f>
        <v>4451.8410000000003</v>
      </c>
      <c r="OX5" s="10">
        <f>4997.981</f>
        <v>4997.9809999999998</v>
      </c>
      <c r="OY5" s="10">
        <f>4971.701</f>
        <v>4971.701</v>
      </c>
      <c r="OZ5" s="10">
        <f>5219.181</f>
        <v>5219.1809999999996</v>
      </c>
      <c r="PA5" s="10">
        <f>5286.941</f>
        <v>5286.9409999999998</v>
      </c>
      <c r="PB5" s="10">
        <f>5234.741</f>
        <v>5234.741</v>
      </c>
      <c r="PC5" s="10">
        <f>5170.791</f>
        <v>5170.7910000000002</v>
      </c>
      <c r="PD5" s="10">
        <f>5631.541</f>
        <v>5631.5410000000002</v>
      </c>
      <c r="PE5" s="10">
        <f>6169.571</f>
        <v>6169.5709999999999</v>
      </c>
      <c r="PF5" s="10">
        <f>5989.401</f>
        <v>5989.4009999999998</v>
      </c>
      <c r="PG5" s="10">
        <f>5981.323</f>
        <v>5981.3230000000003</v>
      </c>
      <c r="PH5" s="10">
        <f>5743.123</f>
        <v>5743.1229999999996</v>
      </c>
      <c r="PI5" s="10">
        <f>5816.123</f>
        <v>5816.1229999999996</v>
      </c>
      <c r="PJ5" s="10">
        <f>6118.854</f>
        <v>6118.8540000000003</v>
      </c>
      <c r="PK5" s="10">
        <f>6115.624</f>
        <v>6115.6239999999998</v>
      </c>
      <c r="PL5" s="10">
        <f>6202.476</f>
        <v>6202.4759999999997</v>
      </c>
      <c r="PM5" s="10">
        <f>6460.926</f>
        <v>6460.9260000000004</v>
      </c>
      <c r="PN5" s="10">
        <f>6688.846</f>
        <v>6688.8459999999995</v>
      </c>
      <c r="PO5" s="10">
        <f>6488.957</f>
        <v>6488.9570000000003</v>
      </c>
      <c r="PP5" s="10">
        <f>6752.207</f>
        <v>6752.2070000000003</v>
      </c>
      <c r="PQ5" s="10">
        <f>6994.157</f>
        <v>6994.1570000000002</v>
      </c>
      <c r="PR5" s="10">
        <f>7052.277</f>
        <v>7052.277</v>
      </c>
      <c r="PS5" s="10">
        <f>7397.597</f>
        <v>7397.5969999999998</v>
      </c>
      <c r="PT5" s="10">
        <f>7174.557</f>
        <v>7174.5569999999998</v>
      </c>
      <c r="PU5" s="10">
        <f>7174.557</f>
        <v>7174.5569999999998</v>
      </c>
      <c r="PV5" s="10">
        <f>7283.677</f>
        <v>7283.6769999999997</v>
      </c>
      <c r="PW5" s="10">
        <f>7111.897</f>
        <v>7111.8969999999999</v>
      </c>
      <c r="PX5" s="10">
        <f>6865.847</f>
        <v>6865.8469999999998</v>
      </c>
      <c r="PY5" s="10">
        <f>6865.847</f>
        <v>6865.8469999999998</v>
      </c>
      <c r="PZ5" s="10">
        <f>6933.797</f>
        <v>6933.7969999999996</v>
      </c>
      <c r="QA5" s="10">
        <f>7106.018</f>
        <v>7106.018</v>
      </c>
      <c r="QB5" s="10">
        <f>7111.598</f>
        <v>7111.598</v>
      </c>
      <c r="QC5" s="10">
        <f>6967.368</f>
        <v>6967.3680000000004</v>
      </c>
      <c r="QD5" s="10">
        <f>6966.488</f>
        <v>6966.4880000000003</v>
      </c>
      <c r="QE5" s="10">
        <f>7038.478</f>
        <v>7038.4780000000001</v>
      </c>
      <c r="QF5" s="10">
        <f>7119.878</f>
        <v>7119.8779999999997</v>
      </c>
      <c r="QG5" s="10">
        <f>6865.638</f>
        <v>6865.6379999999999</v>
      </c>
      <c r="QH5" s="10">
        <f>6865.638</f>
        <v>6865.6379999999999</v>
      </c>
      <c r="QI5" s="10">
        <f>7061.528</f>
        <v>7061.5280000000002</v>
      </c>
      <c r="QJ5" s="10">
        <f>6632.698</f>
        <v>6632.6980000000003</v>
      </c>
      <c r="QK5" s="10">
        <f>6789.288</f>
        <v>6789.2879999999996</v>
      </c>
      <c r="QL5" s="10">
        <f>6789.288</f>
        <v>6789.2879999999996</v>
      </c>
      <c r="QM5" s="10">
        <f>7047.938</f>
        <v>7047.9380000000001</v>
      </c>
      <c r="QN5" s="10">
        <f>7126.808</f>
        <v>7126.808</v>
      </c>
      <c r="QO5" s="10">
        <f>7065.608</f>
        <v>7065.6080000000002</v>
      </c>
      <c r="QP5" s="10">
        <f>7577.588</f>
        <v>7577.5879999999997</v>
      </c>
      <c r="QQ5" s="10">
        <f>7577.588</f>
        <v>7577.5879999999997</v>
      </c>
      <c r="QR5" s="10">
        <f>7748.918</f>
        <v>7748.9179999999997</v>
      </c>
      <c r="QS5" s="10">
        <f>7742.448</f>
        <v>7742.4480000000003</v>
      </c>
      <c r="QT5" s="10">
        <f>7646.84</f>
        <v>7646.84</v>
      </c>
      <c r="QU5" s="10">
        <f>7546.65</f>
        <v>7546.65</v>
      </c>
      <c r="QV5" s="10">
        <f>7546.65</f>
        <v>7546.65</v>
      </c>
      <c r="QW5" s="10">
        <f>7631.53</f>
        <v>7631.53</v>
      </c>
      <c r="QX5" s="10">
        <f>7652.29</f>
        <v>7652.29</v>
      </c>
      <c r="QY5" s="10">
        <f>7450.96</f>
        <v>7450.96</v>
      </c>
      <c r="QZ5" s="10">
        <f>7442.04</f>
        <v>7442.04</v>
      </c>
      <c r="RA5" s="10">
        <f>7655.31</f>
        <v>7655.31</v>
      </c>
      <c r="RB5" s="10">
        <f>7659.461</f>
        <v>7659.4610000000002</v>
      </c>
      <c r="RC5" s="10">
        <f>7619.031</f>
        <v>7619.0309999999999</v>
      </c>
      <c r="RD5" s="10">
        <f>7428.191</f>
        <v>7428.1909999999998</v>
      </c>
      <c r="RE5" s="10">
        <f>7405.211</f>
        <v>7405.2110000000002</v>
      </c>
      <c r="RF5" s="10">
        <f>7720.761</f>
        <v>7720.7610000000004</v>
      </c>
      <c r="RG5" s="10">
        <f>7509.301</f>
        <v>7509.3010000000004</v>
      </c>
      <c r="RH5" s="10">
        <f>7441.5682</f>
        <v>7441.5681999999997</v>
      </c>
      <c r="RI5" s="10">
        <f>7271.4702</f>
        <v>7271.4701999999997</v>
      </c>
      <c r="RJ5" s="10">
        <f>8063.5602</f>
        <v>8063.5601999999999</v>
      </c>
      <c r="RK5" s="10">
        <f>8006.7702</f>
        <v>8006.7701999999999</v>
      </c>
      <c r="RL5" s="10">
        <f>8108.2902</f>
        <v>8108.2902000000004</v>
      </c>
      <c r="RM5" s="10">
        <f>8114.9002</f>
        <v>8114.9002</v>
      </c>
      <c r="RN5" s="10">
        <f>7488.5602</f>
        <v>7488.5601999999999</v>
      </c>
      <c r="RO5" s="10">
        <f>7483.9402</f>
        <v>7483.9402</v>
      </c>
      <c r="RP5" s="10">
        <f>7620.7402</f>
        <v>7620.7402000000002</v>
      </c>
      <c r="RQ5" s="10">
        <f>7368.1502</f>
        <v>7368.1502</v>
      </c>
      <c r="RR5" s="10">
        <f>7658.1502</f>
        <v>7658.1502</v>
      </c>
      <c r="RS5" s="10">
        <f>7438.3522</f>
        <v>7438.3522000000003</v>
      </c>
      <c r="RT5" s="10">
        <f>7438.3522</f>
        <v>7438.3522000000003</v>
      </c>
      <c r="RU5" s="10">
        <f>7600.3522</f>
        <v>7600.3522000000003</v>
      </c>
      <c r="RV5" s="10">
        <f>7413.0222</f>
        <v>7413.0222000000003</v>
      </c>
      <c r="RW5" s="10">
        <f>7212.0222</f>
        <v>7212.0222000000003</v>
      </c>
      <c r="RX5" s="10">
        <f>6990.2622</f>
        <v>6990.2622000000001</v>
      </c>
      <c r="RY5" s="10">
        <f>6934.9922</f>
        <v>6934.9921999999997</v>
      </c>
      <c r="RZ5" s="10">
        <f>7003.0922</f>
        <v>7003.0922</v>
      </c>
      <c r="SA5" s="10">
        <f>6908.2422</f>
        <v>6908.2421999999997</v>
      </c>
      <c r="SB5" s="10">
        <f>6901.4422</f>
        <v>6901.4422000000004</v>
      </c>
      <c r="SC5" s="10">
        <f>7429.7322</f>
        <v>7429.7322000000004</v>
      </c>
      <c r="SD5" s="10">
        <f>7429.7322</f>
        <v>7429.7322000000004</v>
      </c>
      <c r="SE5" s="10">
        <f>7723.7822</f>
        <v>7723.7821999999996</v>
      </c>
      <c r="SF5" s="10">
        <f>7723.7822</f>
        <v>7723.7821999999996</v>
      </c>
      <c r="SG5" s="10">
        <f>7819.6522</f>
        <v>7819.6522000000004</v>
      </c>
      <c r="SH5" s="10">
        <v>7593.0821999999998</v>
      </c>
      <c r="SI5" s="10">
        <v>7784.8231999999998</v>
      </c>
      <c r="SJ5" s="10">
        <v>7542.4132</v>
      </c>
      <c r="SK5" s="10">
        <v>7543.8332</v>
      </c>
      <c r="SL5" s="10">
        <v>7417.3532000000005</v>
      </c>
      <c r="SM5" s="10">
        <v>7287.9932000000008</v>
      </c>
      <c r="SN5" s="10">
        <v>6905.4400000000005</v>
      </c>
      <c r="SO5" s="10">
        <v>6905.4432000000006</v>
      </c>
      <c r="SP5" s="10">
        <v>6982.5432000000001</v>
      </c>
      <c r="SQ5" s="10">
        <v>7096.4332000000004</v>
      </c>
      <c r="SR5" s="10">
        <v>7000.7932000000001</v>
      </c>
      <c r="SS5" s="10">
        <v>6730.6451999999999</v>
      </c>
      <c r="ST5" s="10">
        <v>6728.9952000000003</v>
      </c>
      <c r="SU5" s="10">
        <v>6809.0652</v>
      </c>
      <c r="SV5" s="10">
        <v>6927.9252000000006</v>
      </c>
      <c r="SW5" s="10">
        <v>6831.2952000000005</v>
      </c>
      <c r="SX5" s="10">
        <v>6939.4161999999997</v>
      </c>
      <c r="SY5" s="10">
        <v>6939.4161999999997</v>
      </c>
      <c r="SZ5" s="10">
        <v>6995.7961999999998</v>
      </c>
      <c r="TA5" s="10">
        <v>7231.2362000000003</v>
      </c>
      <c r="TB5" s="10">
        <v>7310.2861999999996</v>
      </c>
      <c r="TC5" s="10">
        <v>7607.1032000000005</v>
      </c>
      <c r="TD5" s="10">
        <v>7936.11</v>
      </c>
      <c r="TE5" s="10">
        <v>7973.454999999999</v>
      </c>
      <c r="TF5" s="10">
        <v>8107.1319999999987</v>
      </c>
      <c r="TG5" s="10">
        <v>8095.5250000000005</v>
      </c>
      <c r="TH5" s="10">
        <v>8001.8470000000007</v>
      </c>
      <c r="TI5" s="10">
        <v>8066.8770000000004</v>
      </c>
      <c r="TJ5" s="10">
        <v>7954.2759999999998</v>
      </c>
      <c r="TK5" s="10">
        <v>7950.1289999999999</v>
      </c>
      <c r="TL5" s="10">
        <v>7878.0240000000003</v>
      </c>
      <c r="TM5" s="10">
        <v>7893.3040000000001</v>
      </c>
      <c r="TN5" s="10">
        <v>7995.11</v>
      </c>
      <c r="TO5" s="10">
        <v>8157.4509999999991</v>
      </c>
      <c r="TP5" s="10">
        <v>8039.8289999999997</v>
      </c>
      <c r="TQ5" s="10">
        <v>7648.4859999999999</v>
      </c>
      <c r="TR5" s="10">
        <v>7722.9690000000001</v>
      </c>
      <c r="TS5" s="10">
        <v>7780.3969999999999</v>
      </c>
      <c r="TT5" s="10">
        <v>8177.5649999999996</v>
      </c>
      <c r="TU5" s="10">
        <v>8438.4069999999992</v>
      </c>
      <c r="TV5" s="10">
        <v>8320.9480000000003</v>
      </c>
      <c r="TW5" s="10">
        <v>8392</v>
      </c>
      <c r="TX5" s="10">
        <v>8400.7654999999995</v>
      </c>
      <c r="TY5" s="10">
        <v>8187.0985000000001</v>
      </c>
      <c r="TZ5" s="10">
        <v>8076.7214999999997</v>
      </c>
      <c r="UA5" s="10">
        <v>8155.3774999999996</v>
      </c>
      <c r="UB5" s="10">
        <v>8500.9580000000005</v>
      </c>
      <c r="UC5" s="10">
        <v>8453.3719999999994</v>
      </c>
      <c r="UD5" s="10">
        <v>8305.3430000000008</v>
      </c>
      <c r="UE5" s="10">
        <v>8327.3549999999996</v>
      </c>
      <c r="UF5" s="10">
        <v>8360.6229999999996</v>
      </c>
      <c r="UG5" s="10">
        <v>8230.9920000000002</v>
      </c>
      <c r="UH5" s="10">
        <v>8178.9039999999995</v>
      </c>
      <c r="UI5" s="10">
        <v>8122.5540000000001</v>
      </c>
      <c r="UJ5" s="10">
        <v>7852.7849999999999</v>
      </c>
      <c r="UK5" s="10">
        <v>7991.1760000000004</v>
      </c>
      <c r="UL5" s="10">
        <v>8139.6382999999996</v>
      </c>
      <c r="UM5" s="10">
        <v>7734.1689999999999</v>
      </c>
      <c r="UN5" s="10">
        <v>7912.299</v>
      </c>
      <c r="UO5" s="10">
        <v>7565.2809999999999</v>
      </c>
      <c r="UP5" s="10">
        <v>7652.4679999999998</v>
      </c>
      <c r="UQ5" s="10">
        <v>7542.009</v>
      </c>
      <c r="UR5" s="10">
        <v>7383.1989999999996</v>
      </c>
      <c r="US5" s="10">
        <v>7432.29</v>
      </c>
      <c r="UT5" s="10">
        <v>7507.1670000000004</v>
      </c>
      <c r="UU5" s="10">
        <v>7598.5829999999996</v>
      </c>
      <c r="UV5" s="10">
        <v>7514.0439999999999</v>
      </c>
      <c r="UW5" s="10">
        <v>7379.5820000000003</v>
      </c>
      <c r="UX5" s="10">
        <v>7486.1840000000002</v>
      </c>
      <c r="UY5" s="10">
        <v>7580.1940000000004</v>
      </c>
      <c r="UZ5" s="10">
        <v>7560.0334999999995</v>
      </c>
      <c r="VA5" s="10">
        <v>7329.3029999999999</v>
      </c>
      <c r="VB5" s="10">
        <v>7329.3029999999999</v>
      </c>
      <c r="VC5" s="10">
        <v>7023.2794999999996</v>
      </c>
      <c r="VD5" s="10">
        <v>7192.4264999999996</v>
      </c>
      <c r="VE5" s="10">
        <v>7562</v>
      </c>
      <c r="VF5" s="10">
        <v>7317</v>
      </c>
      <c r="VG5" s="10">
        <v>6973.4430000000002</v>
      </c>
      <c r="VH5" s="10">
        <v>6811.4641999999994</v>
      </c>
      <c r="VI5" s="10">
        <v>6880.652</v>
      </c>
      <c r="VJ5" s="10">
        <v>7015.3280000000004</v>
      </c>
      <c r="VK5" s="10">
        <v>7013.8609999999999</v>
      </c>
      <c r="VL5" s="10">
        <v>6909.7629999999999</v>
      </c>
      <c r="VM5" s="10">
        <v>6965.8450000000003</v>
      </c>
      <c r="VN5" s="10">
        <v>6943.5360000000001</v>
      </c>
      <c r="VO5" s="10">
        <v>6902.7579999999998</v>
      </c>
      <c r="VP5" s="10">
        <v>6768.86</v>
      </c>
      <c r="VQ5" s="10">
        <v>6837.9930000000004</v>
      </c>
      <c r="VR5" s="10">
        <v>6918.9189999999999</v>
      </c>
      <c r="VS5" s="10">
        <v>6897.0810000000001</v>
      </c>
      <c r="VT5" s="10">
        <v>6953.299</v>
      </c>
      <c r="VU5" s="10">
        <v>6465.56</v>
      </c>
      <c r="VV5" s="10">
        <v>6559.4219999999996</v>
      </c>
      <c r="VW5" s="10">
        <v>6548.0829999999996</v>
      </c>
      <c r="VX5" s="10">
        <v>6660.741</v>
      </c>
      <c r="VY5" s="10">
        <v>6539.7110000000002</v>
      </c>
      <c r="VZ5" s="10">
        <v>6319.8220000000001</v>
      </c>
      <c r="WA5" s="10">
        <v>6487.8959999999997</v>
      </c>
      <c r="WB5" s="10">
        <v>6832.3789999999999</v>
      </c>
      <c r="WC5" s="10">
        <v>6791.2269999999999</v>
      </c>
      <c r="WD5" s="10">
        <v>6819.6959999999999</v>
      </c>
      <c r="WE5" s="10">
        <v>6709.5855000000001</v>
      </c>
      <c r="WF5" s="10">
        <v>6840.9030000000002</v>
      </c>
      <c r="WG5" s="10">
        <v>7021.9319999999998</v>
      </c>
      <c r="WH5" s="10">
        <v>7037.8739999999998</v>
      </c>
      <c r="WI5" s="10">
        <v>7116.2039999999997</v>
      </c>
      <c r="WJ5" s="10">
        <v>7200.9449999999997</v>
      </c>
      <c r="WK5" s="10">
        <v>7262.6379999999999</v>
      </c>
      <c r="WL5" s="10">
        <v>7169.3230000000003</v>
      </c>
      <c r="WM5" s="10">
        <v>7093.2420000000002</v>
      </c>
      <c r="WN5" s="10">
        <v>7011.4269999999997</v>
      </c>
      <c r="WO5" s="10">
        <v>7161.5280000000002</v>
      </c>
      <c r="WP5" s="10">
        <v>7203.2860000000001</v>
      </c>
      <c r="WQ5" s="10">
        <v>7003.5339999999997</v>
      </c>
      <c r="WR5" s="10">
        <v>7010.52</v>
      </c>
      <c r="WS5" s="10">
        <v>7141.576</v>
      </c>
      <c r="WT5" s="10">
        <v>7322.5020000000004</v>
      </c>
      <c r="WU5" s="10">
        <v>7039.0210000000006</v>
      </c>
      <c r="WV5" s="10">
        <v>7253.9110000000001</v>
      </c>
      <c r="WW5" s="10">
        <v>7112.7579999999998</v>
      </c>
      <c r="WX5" s="10">
        <v>6822.6379999999999</v>
      </c>
      <c r="WY5" s="10">
        <v>7010.99</v>
      </c>
      <c r="WZ5" s="10">
        <v>7186.0730000000003</v>
      </c>
      <c r="XA5" s="10">
        <v>6832.8580000000002</v>
      </c>
      <c r="XB5" s="10">
        <v>6993.43</v>
      </c>
      <c r="XC5" s="10">
        <v>7030.3180000000002</v>
      </c>
      <c r="XD5" s="10">
        <v>6979.835</v>
      </c>
      <c r="XE5" s="10">
        <v>7028.8620000000001</v>
      </c>
      <c r="XF5" s="10">
        <v>6731.15</v>
      </c>
      <c r="XG5" s="10">
        <v>6847.5060000000003</v>
      </c>
      <c r="XH5" s="10">
        <v>6896.1589999999997</v>
      </c>
      <c r="XI5" s="10">
        <v>6729.1970000000001</v>
      </c>
      <c r="XJ5" s="10">
        <v>6811.558</v>
      </c>
      <c r="XK5" s="10">
        <v>6660.737000000001</v>
      </c>
      <c r="XL5" s="10">
        <v>7165.4770000000008</v>
      </c>
      <c r="XM5" s="10">
        <v>7053.6020000000008</v>
      </c>
      <c r="XN5" s="10">
        <v>7217.6470000000008</v>
      </c>
      <c r="XO5" s="10">
        <v>7281.5429999999997</v>
      </c>
      <c r="XP5" s="10">
        <v>7362.0259999999998</v>
      </c>
      <c r="XQ5" s="10">
        <v>7470.2219999999998</v>
      </c>
      <c r="XR5" s="10">
        <v>7407.2849999999999</v>
      </c>
      <c r="XS5" s="10">
        <v>7332.7039999999997</v>
      </c>
      <c r="XT5" s="10">
        <v>7421.4660000000003</v>
      </c>
      <c r="XU5" s="10">
        <v>7693.2470000000003</v>
      </c>
      <c r="XV5" s="10">
        <v>7430.6480000000001</v>
      </c>
      <c r="XW5" s="10">
        <v>7356.1769999999997</v>
      </c>
      <c r="XX5" s="10">
        <v>7173.826</v>
      </c>
      <c r="XY5" s="10">
        <v>6730.0990000000002</v>
      </c>
      <c r="XZ5" s="10">
        <v>6838.3609999999999</v>
      </c>
      <c r="YA5" s="10">
        <v>6894.5659999999998</v>
      </c>
      <c r="YB5" s="10">
        <v>6980.7740000000003</v>
      </c>
      <c r="YC5" s="10">
        <v>6912.2070000000003</v>
      </c>
      <c r="YD5" s="10">
        <v>6286.1170000000002</v>
      </c>
      <c r="YE5" s="10">
        <v>6387.5929999999989</v>
      </c>
      <c r="YF5" s="10">
        <v>6456.5640000000003</v>
      </c>
      <c r="YG5" s="10">
        <v>7076.7389999999996</v>
      </c>
      <c r="YH5" s="10">
        <v>7180.6229999999996</v>
      </c>
      <c r="YI5" s="10">
        <v>7194.1170000000002</v>
      </c>
      <c r="YJ5" s="10">
        <v>7147.7820000000002</v>
      </c>
      <c r="YK5" s="10">
        <v>7139.3720000000003</v>
      </c>
      <c r="YL5" s="10">
        <v>7108.8850000000002</v>
      </c>
      <c r="YM5" s="10">
        <v>7329.049</v>
      </c>
      <c r="YN5" s="10">
        <v>7267.7690000000002</v>
      </c>
      <c r="YO5" s="10">
        <v>7539.7209999999995</v>
      </c>
      <c r="YP5" s="10">
        <v>7577.2030000000004</v>
      </c>
      <c r="YQ5" s="10">
        <v>7766.4239999999991</v>
      </c>
      <c r="YR5" s="10">
        <v>7730.9210000000012</v>
      </c>
      <c r="YS5" s="10">
        <v>7759.9059999999999</v>
      </c>
      <c r="YT5" s="10">
        <v>7732.0750000000007</v>
      </c>
      <c r="YU5" s="10">
        <v>7682.7180000000008</v>
      </c>
      <c r="YV5" s="10">
        <v>7388.0519999999997</v>
      </c>
      <c r="YW5" s="10">
        <v>7537.4279999999999</v>
      </c>
      <c r="YX5" s="10">
        <v>7805.4860000000008</v>
      </c>
      <c r="YY5" s="10">
        <v>7708.5050000000001</v>
      </c>
      <c r="YZ5" s="10">
        <v>7808.1189999999997</v>
      </c>
      <c r="ZA5" s="10">
        <v>7661.1470000000008</v>
      </c>
      <c r="ZB5" s="10">
        <v>7723.7350000000006</v>
      </c>
      <c r="ZC5" s="10">
        <v>7687.8829999999998</v>
      </c>
      <c r="ZD5" s="10">
        <v>7590.1630000000005</v>
      </c>
      <c r="ZE5" s="10">
        <v>7346.8850000000002</v>
      </c>
      <c r="ZF5" s="10">
        <v>8065.9849999999988</v>
      </c>
      <c r="ZG5" s="10">
        <v>8281.9290000000001</v>
      </c>
      <c r="ZH5" s="10">
        <v>8426.2090000000007</v>
      </c>
      <c r="ZI5" s="10">
        <v>8506.5239999999994</v>
      </c>
      <c r="ZJ5" s="10">
        <v>8329.2790000000005</v>
      </c>
      <c r="ZK5" s="10">
        <v>8483.1290000000008</v>
      </c>
      <c r="ZL5" s="10">
        <v>8543.0450000000001</v>
      </c>
      <c r="ZM5" s="10">
        <v>8580.7610000000004</v>
      </c>
      <c r="ZN5" s="10">
        <v>8536.4670000000006</v>
      </c>
      <c r="ZO5" s="10">
        <v>8567.9439999999995</v>
      </c>
      <c r="ZP5" s="10">
        <v>8651.1229999999996</v>
      </c>
      <c r="ZQ5" s="10">
        <v>8550.1730000000025</v>
      </c>
      <c r="ZR5" s="10">
        <v>8510.7450000000008</v>
      </c>
      <c r="ZS5" s="10">
        <v>7850.4630000000006</v>
      </c>
      <c r="ZT5" s="10">
        <v>8016.433</v>
      </c>
      <c r="ZU5" s="10">
        <v>8137.6989999999996</v>
      </c>
      <c r="ZV5" s="10">
        <v>8267.6659999999993</v>
      </c>
      <c r="ZW5" s="10">
        <v>8336.5820000000003</v>
      </c>
      <c r="ZX5" s="10">
        <v>8250.5159999999996</v>
      </c>
      <c r="ZY5" s="10">
        <v>8249.9500000000007</v>
      </c>
      <c r="ZZ5" s="10">
        <v>8253.1409999999996</v>
      </c>
      <c r="AAA5" s="10">
        <v>8003.3689999999997</v>
      </c>
      <c r="AAB5" s="10">
        <v>8196.4380000000001</v>
      </c>
      <c r="AAC5" s="10">
        <v>8363.2180000000008</v>
      </c>
      <c r="AAD5" s="10">
        <v>8496.4850000000006</v>
      </c>
      <c r="AAE5" s="10">
        <v>8613.6650000000009</v>
      </c>
      <c r="AAF5" s="10">
        <v>8851.9660000000003</v>
      </c>
      <c r="AAG5" s="10">
        <v>8952.6139999999996</v>
      </c>
      <c r="AAH5" s="10">
        <v>8844.6219999999994</v>
      </c>
      <c r="AAI5" s="10">
        <v>8840.4249999999993</v>
      </c>
      <c r="AAJ5" s="10">
        <v>8821.6749999999993</v>
      </c>
      <c r="AAK5" s="10">
        <v>8613.5</v>
      </c>
      <c r="AAL5" s="10">
        <v>8631.9380000000001</v>
      </c>
      <c r="AAM5" s="10">
        <v>8709.2999999999993</v>
      </c>
      <c r="AAN5" s="10">
        <v>8634.6890000000003</v>
      </c>
      <c r="AAO5" s="10">
        <v>8451.2729999999992</v>
      </c>
      <c r="AAP5" s="10">
        <v>8438.7690000000002</v>
      </c>
      <c r="AAQ5" s="10">
        <v>8657.2980000000007</v>
      </c>
      <c r="AAR5" s="10">
        <v>8814.1020000000008</v>
      </c>
      <c r="AAS5" s="10">
        <v>8756.5509999999995</v>
      </c>
      <c r="AAT5" s="10">
        <v>8647.8790000000008</v>
      </c>
      <c r="AAU5" s="10">
        <v>8717.1919999999991</v>
      </c>
      <c r="AAV5" s="10">
        <v>8568.5720000000001</v>
      </c>
      <c r="AAW5" s="10">
        <v>8431.9989999999998</v>
      </c>
      <c r="AAX5" s="10">
        <v>8311.1350000000002</v>
      </c>
      <c r="AAY5" s="10">
        <v>8189.4740000000011</v>
      </c>
      <c r="AAZ5" s="10">
        <v>8289.2090000000007</v>
      </c>
      <c r="ABA5" s="10">
        <v>8289.9650000000001</v>
      </c>
      <c r="ABB5" s="10">
        <v>8090.7440000000006</v>
      </c>
      <c r="ABC5" s="10">
        <v>8127.8879999999999</v>
      </c>
      <c r="ABD5" s="10">
        <v>7480.2960000000003</v>
      </c>
      <c r="ABF5" s="113" t="s">
        <v>65</v>
      </c>
      <c r="ABG5" s="10">
        <v>17457.646699999968</v>
      </c>
      <c r="ABH5" s="9">
        <f t="shared" si="0"/>
        <v>0.96986926111110938</v>
      </c>
      <c r="ABI5" s="126">
        <f>IF((ABN5*0.93)-ABG5&lt;0,0,(ABN5*0.93)-ABG5)</f>
        <v>0</v>
      </c>
      <c r="ABJ5" s="48"/>
      <c r="ABK5" s="10">
        <f t="shared" si="1"/>
        <v>0</v>
      </c>
      <c r="ABL5" s="113" t="s">
        <v>65</v>
      </c>
      <c r="ABM5" s="8" t="s">
        <v>47</v>
      </c>
      <c r="ABN5" s="78">
        <v>18000</v>
      </c>
      <c r="ABO5" s="7">
        <v>240000</v>
      </c>
      <c r="ABP5">
        <v>18000</v>
      </c>
      <c r="ABQ5" t="s">
        <v>51</v>
      </c>
      <c r="ABR5" t="s">
        <v>119</v>
      </c>
      <c r="ABS5"/>
      <c r="ABW5" t="s">
        <v>120</v>
      </c>
    </row>
    <row r="6" spans="1:769" ht="30" x14ac:dyDescent="0.25">
      <c r="A6" s="6" t="s">
        <v>73</v>
      </c>
      <c r="B6" s="8" t="s">
        <v>55</v>
      </c>
      <c r="C6" s="76"/>
      <c r="D6" s="7">
        <v>60000</v>
      </c>
      <c r="E6" s="7">
        <v>60000</v>
      </c>
      <c r="F6" s="7">
        <v>60000</v>
      </c>
      <c r="G6" s="7">
        <f>F6</f>
        <v>60000</v>
      </c>
      <c r="H6" s="7">
        <f>G6</f>
        <v>60000</v>
      </c>
      <c r="I6" s="7">
        <f>H6</f>
        <v>60000</v>
      </c>
      <c r="J6" s="7">
        <f>I6</f>
        <v>60000</v>
      </c>
      <c r="K6" s="7">
        <f>J6</f>
        <v>60000</v>
      </c>
      <c r="L6" s="7">
        <f>K6</f>
        <v>60000</v>
      </c>
      <c r="M6" s="7">
        <f>L6</f>
        <v>60000</v>
      </c>
      <c r="N6" s="7">
        <f>M6</f>
        <v>60000</v>
      </c>
      <c r="O6" s="7">
        <f>N6</f>
        <v>60000</v>
      </c>
      <c r="P6" s="7">
        <f>O6</f>
        <v>60000</v>
      </c>
      <c r="Q6" s="7">
        <f>P6</f>
        <v>60000</v>
      </c>
      <c r="R6" s="7">
        <f>Q6</f>
        <v>60000</v>
      </c>
      <c r="S6" s="7">
        <f>R6</f>
        <v>60000</v>
      </c>
      <c r="T6" s="7">
        <f>S6</f>
        <v>60000</v>
      </c>
      <c r="U6" s="7">
        <v>60500</v>
      </c>
      <c r="V6" s="7">
        <v>60500</v>
      </c>
      <c r="W6" s="7"/>
      <c r="X6" s="7"/>
      <c r="Y6" s="7">
        <v>60500</v>
      </c>
      <c r="Z6" s="7">
        <v>60500</v>
      </c>
      <c r="AA6" s="7">
        <v>60500</v>
      </c>
      <c r="AB6" s="7">
        <v>60500</v>
      </c>
      <c r="AC6" s="7">
        <v>60500</v>
      </c>
      <c r="AD6" s="7"/>
      <c r="AE6" s="7">
        <v>60500</v>
      </c>
      <c r="AF6" s="7">
        <v>60500</v>
      </c>
      <c r="AG6" s="7">
        <v>61000</v>
      </c>
      <c r="AH6" s="7">
        <v>61000</v>
      </c>
      <c r="AI6" s="7">
        <v>61000</v>
      </c>
      <c r="AJ6" s="7">
        <v>61000</v>
      </c>
      <c r="AK6" s="7">
        <v>61000</v>
      </c>
      <c r="AL6" s="7">
        <v>61000</v>
      </c>
      <c r="AM6" s="7">
        <v>60500</v>
      </c>
      <c r="AN6" s="7">
        <v>60500</v>
      </c>
      <c r="AO6" s="7">
        <v>60500</v>
      </c>
      <c r="AP6" s="7">
        <v>60500</v>
      </c>
      <c r="AQ6" s="7">
        <v>60500</v>
      </c>
      <c r="AR6" s="7">
        <v>60500</v>
      </c>
      <c r="AS6" s="7">
        <v>60500</v>
      </c>
      <c r="AT6" s="7">
        <v>60500</v>
      </c>
      <c r="AU6" s="7">
        <v>60500</v>
      </c>
      <c r="AV6" s="7">
        <v>60500</v>
      </c>
      <c r="AW6" s="7">
        <v>60500</v>
      </c>
      <c r="AX6" s="7">
        <v>60500</v>
      </c>
      <c r="AY6" s="7">
        <v>60500</v>
      </c>
      <c r="AZ6" s="7">
        <v>60500</v>
      </c>
      <c r="BA6" s="7">
        <v>60500</v>
      </c>
      <c r="BB6" s="7">
        <v>60500</v>
      </c>
      <c r="BC6" s="7">
        <v>60500</v>
      </c>
      <c r="BD6" s="7">
        <v>60500</v>
      </c>
      <c r="BE6" s="7">
        <v>60500</v>
      </c>
      <c r="BF6" s="7">
        <v>60500</v>
      </c>
      <c r="BG6" s="7">
        <v>60500</v>
      </c>
      <c r="BH6" s="7">
        <v>60500</v>
      </c>
      <c r="BI6" s="7">
        <v>60500</v>
      </c>
      <c r="BJ6" s="7">
        <v>60500</v>
      </c>
      <c r="BK6" s="7">
        <v>60500</v>
      </c>
      <c r="BL6" s="7">
        <v>60500</v>
      </c>
      <c r="BM6" s="7">
        <v>60500</v>
      </c>
      <c r="BN6" s="7">
        <v>60500</v>
      </c>
      <c r="BO6" s="7">
        <v>60500</v>
      </c>
      <c r="BP6" s="7">
        <v>60500</v>
      </c>
      <c r="BQ6" s="7">
        <v>60500</v>
      </c>
      <c r="BR6" s="7">
        <v>60500</v>
      </c>
      <c r="BS6" s="7">
        <v>60500</v>
      </c>
      <c r="BT6" s="7">
        <v>60500</v>
      </c>
      <c r="BU6" s="7">
        <v>60500</v>
      </c>
      <c r="BV6" s="7">
        <v>60500</v>
      </c>
      <c r="BW6" s="7">
        <v>60500</v>
      </c>
      <c r="BX6" s="7">
        <v>60500</v>
      </c>
      <c r="BY6" s="7">
        <v>60500</v>
      </c>
      <c r="BZ6" s="7">
        <v>60500</v>
      </c>
      <c r="CA6" s="7">
        <v>60500</v>
      </c>
      <c r="CB6" s="7">
        <v>60500</v>
      </c>
      <c r="CC6" s="7">
        <v>60500</v>
      </c>
      <c r="CD6" s="7">
        <v>60500</v>
      </c>
      <c r="CE6" s="7">
        <v>60500</v>
      </c>
      <c r="CF6" s="7">
        <v>60500</v>
      </c>
      <c r="CG6" s="7">
        <v>60500</v>
      </c>
      <c r="CH6" s="7">
        <v>60500</v>
      </c>
      <c r="CI6" s="7">
        <v>60500</v>
      </c>
      <c r="CJ6" s="7">
        <v>60500</v>
      </c>
      <c r="CK6" s="7">
        <v>60500</v>
      </c>
      <c r="CL6" s="7">
        <v>60500</v>
      </c>
      <c r="CM6" s="7">
        <v>60500</v>
      </c>
      <c r="CN6" s="7">
        <v>60500</v>
      </c>
      <c r="CO6" s="7">
        <v>60500</v>
      </c>
      <c r="CP6" s="7">
        <v>60500</v>
      </c>
      <c r="CQ6" s="7">
        <v>60500</v>
      </c>
      <c r="CR6" s="7">
        <v>60500</v>
      </c>
      <c r="CS6" s="7">
        <v>60500</v>
      </c>
      <c r="CT6" s="7">
        <v>60500</v>
      </c>
      <c r="CU6" s="7">
        <v>60500</v>
      </c>
      <c r="CV6" s="7">
        <v>60500</v>
      </c>
      <c r="CW6" s="7">
        <v>60500</v>
      </c>
      <c r="CX6" s="7">
        <v>60500</v>
      </c>
      <c r="CY6" s="7">
        <v>60500</v>
      </c>
      <c r="CZ6" s="7">
        <v>60500</v>
      </c>
      <c r="DA6" s="7">
        <v>60500</v>
      </c>
      <c r="DB6" s="7">
        <v>60500</v>
      </c>
      <c r="DC6" s="7">
        <v>60500</v>
      </c>
      <c r="DD6" s="7">
        <v>60500</v>
      </c>
      <c r="DE6" s="7">
        <v>60500</v>
      </c>
      <c r="DF6" s="7">
        <v>60500</v>
      </c>
      <c r="DG6" s="7">
        <v>60500</v>
      </c>
      <c r="DH6" s="7">
        <v>60500</v>
      </c>
      <c r="DI6" s="7">
        <v>60500</v>
      </c>
      <c r="DJ6" s="7">
        <v>60500</v>
      </c>
      <c r="DK6" s="7">
        <v>60500</v>
      </c>
      <c r="DL6" s="7">
        <v>60500</v>
      </c>
      <c r="DM6" s="7">
        <v>60500</v>
      </c>
      <c r="DN6" s="7">
        <v>60500</v>
      </c>
      <c r="DO6" s="7">
        <v>60500</v>
      </c>
      <c r="DP6" s="7">
        <v>60500</v>
      </c>
      <c r="DQ6" s="7">
        <v>60500</v>
      </c>
      <c r="DR6" s="7">
        <v>60500</v>
      </c>
      <c r="DS6" s="7">
        <v>60500</v>
      </c>
      <c r="DT6" s="7">
        <v>60500</v>
      </c>
      <c r="DU6" s="7">
        <v>60500</v>
      </c>
      <c r="DV6" s="7">
        <v>60500</v>
      </c>
      <c r="DW6" s="7">
        <v>60500</v>
      </c>
      <c r="DX6" s="7">
        <v>60500</v>
      </c>
      <c r="DY6" s="7">
        <v>60500</v>
      </c>
      <c r="DZ6" s="7">
        <v>60500</v>
      </c>
      <c r="EA6" s="7">
        <v>60500</v>
      </c>
      <c r="EB6" s="7">
        <v>60500</v>
      </c>
      <c r="EC6" s="7">
        <v>60500</v>
      </c>
      <c r="ED6" s="7">
        <v>60500</v>
      </c>
      <c r="EE6" s="7">
        <v>60500</v>
      </c>
      <c r="EF6" s="7">
        <v>60500</v>
      </c>
      <c r="EG6" s="7">
        <v>60500</v>
      </c>
      <c r="EH6" s="7">
        <v>60500</v>
      </c>
      <c r="EI6" s="7">
        <v>60500</v>
      </c>
      <c r="EJ6" s="7">
        <v>60500</v>
      </c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26"/>
      <c r="EX6" s="7"/>
      <c r="EY6" s="7"/>
      <c r="EZ6" s="78">
        <v>26386</v>
      </c>
      <c r="FA6" s="78">
        <v>26386</v>
      </c>
      <c r="FB6" s="78">
        <v>26386</v>
      </c>
      <c r="FC6" s="78">
        <v>26386</v>
      </c>
      <c r="FD6" s="78">
        <v>28836</v>
      </c>
      <c r="FE6" s="78">
        <v>28836</v>
      </c>
      <c r="FF6" s="78">
        <v>28836</v>
      </c>
      <c r="FG6" s="78">
        <v>28756</v>
      </c>
      <c r="FH6" s="78">
        <v>28756</v>
      </c>
      <c r="FI6" s="78">
        <v>28756</v>
      </c>
      <c r="FJ6" s="78">
        <v>28756</v>
      </c>
      <c r="FK6" s="78">
        <v>28756</v>
      </c>
      <c r="FL6" s="78">
        <v>30256</v>
      </c>
      <c r="FM6" s="78">
        <v>30256</v>
      </c>
      <c r="FN6" s="78">
        <v>30256</v>
      </c>
      <c r="FO6" s="78">
        <v>30756</v>
      </c>
      <c r="FP6" s="78">
        <v>30256</v>
      </c>
      <c r="FQ6" s="78">
        <v>30256</v>
      </c>
      <c r="FR6" s="78">
        <v>31831</v>
      </c>
      <c r="FS6" s="78">
        <v>31831</v>
      </c>
      <c r="FT6" s="78">
        <v>31831</v>
      </c>
      <c r="FU6" s="78">
        <v>31831</v>
      </c>
      <c r="FV6" s="78">
        <v>31831</v>
      </c>
      <c r="FW6" s="78">
        <v>31831</v>
      </c>
      <c r="FX6" s="78">
        <v>32411</v>
      </c>
      <c r="FY6" s="78">
        <v>32411</v>
      </c>
      <c r="FZ6" s="78">
        <v>32411</v>
      </c>
      <c r="GA6" s="78">
        <v>32411</v>
      </c>
      <c r="GB6" s="78">
        <v>32411</v>
      </c>
      <c r="GC6" s="78">
        <v>32411</v>
      </c>
      <c r="GD6" s="78">
        <v>32411</v>
      </c>
      <c r="GE6" s="78">
        <v>32411</v>
      </c>
      <c r="GF6" s="78">
        <v>32411</v>
      </c>
      <c r="GG6" s="78">
        <v>32411</v>
      </c>
      <c r="GH6" s="78">
        <v>32411</v>
      </c>
      <c r="GI6" s="78">
        <v>32411</v>
      </c>
      <c r="GJ6" s="78">
        <v>32411</v>
      </c>
      <c r="GK6" s="78">
        <v>32411</v>
      </c>
      <c r="GL6" s="78"/>
      <c r="GM6" s="78">
        <v>32411</v>
      </c>
      <c r="GN6" s="78">
        <v>29185</v>
      </c>
      <c r="GO6" s="78">
        <v>29185</v>
      </c>
      <c r="GP6" s="78">
        <v>29185</v>
      </c>
      <c r="GQ6" s="78">
        <f t="shared" ref="GQ6:JE6" si="4">29185-2770</f>
        <v>26415</v>
      </c>
      <c r="GR6" s="78">
        <f t="shared" si="4"/>
        <v>26415</v>
      </c>
      <c r="GS6" s="78">
        <f t="shared" si="4"/>
        <v>26415</v>
      </c>
      <c r="GT6" s="78">
        <f t="shared" si="4"/>
        <v>26415</v>
      </c>
      <c r="GU6" s="78">
        <f t="shared" si="4"/>
        <v>26415</v>
      </c>
      <c r="GV6" s="78">
        <f t="shared" si="4"/>
        <v>26415</v>
      </c>
      <c r="GW6" s="78">
        <f t="shared" si="4"/>
        <v>26415</v>
      </c>
      <c r="GX6" s="78">
        <f t="shared" si="4"/>
        <v>26415</v>
      </c>
      <c r="GY6" s="78">
        <f t="shared" si="4"/>
        <v>26415</v>
      </c>
      <c r="GZ6" s="78">
        <f t="shared" si="4"/>
        <v>26415</v>
      </c>
      <c r="HA6" s="78">
        <f t="shared" si="4"/>
        <v>26415</v>
      </c>
      <c r="HB6" s="78">
        <f t="shared" si="4"/>
        <v>26415</v>
      </c>
      <c r="HC6" s="78">
        <f t="shared" si="4"/>
        <v>26415</v>
      </c>
      <c r="HD6" s="78">
        <f t="shared" si="4"/>
        <v>26415</v>
      </c>
      <c r="HE6" s="78">
        <f t="shared" si="4"/>
        <v>26415</v>
      </c>
      <c r="HF6" s="78">
        <f t="shared" si="4"/>
        <v>26415</v>
      </c>
      <c r="HG6" s="78">
        <f t="shared" si="4"/>
        <v>26415</v>
      </c>
      <c r="HH6" s="78">
        <f t="shared" si="4"/>
        <v>26415</v>
      </c>
      <c r="HI6" s="78">
        <f t="shared" si="4"/>
        <v>26415</v>
      </c>
      <c r="HJ6" s="78">
        <f t="shared" si="4"/>
        <v>26415</v>
      </c>
      <c r="HK6" s="78">
        <f t="shared" si="4"/>
        <v>26415</v>
      </c>
      <c r="HL6" s="78">
        <f t="shared" si="4"/>
        <v>26415</v>
      </c>
      <c r="HM6" s="78">
        <f t="shared" si="4"/>
        <v>26415</v>
      </c>
      <c r="HN6" s="78">
        <f t="shared" si="4"/>
        <v>26415</v>
      </c>
      <c r="HO6" s="78">
        <f t="shared" si="4"/>
        <v>26415</v>
      </c>
      <c r="HP6" s="78">
        <f t="shared" si="4"/>
        <v>26415</v>
      </c>
      <c r="HQ6" s="78">
        <f t="shared" si="4"/>
        <v>26415</v>
      </c>
      <c r="HR6" s="78">
        <f t="shared" si="4"/>
        <v>26415</v>
      </c>
      <c r="HS6" s="78">
        <f t="shared" si="4"/>
        <v>26415</v>
      </c>
      <c r="HT6" s="78">
        <f t="shared" si="4"/>
        <v>26415</v>
      </c>
      <c r="HU6" s="78">
        <f t="shared" si="4"/>
        <v>26415</v>
      </c>
      <c r="HV6" s="78">
        <f t="shared" si="4"/>
        <v>26415</v>
      </c>
      <c r="HW6" s="78">
        <f t="shared" si="4"/>
        <v>26415</v>
      </c>
      <c r="HX6" s="78">
        <f t="shared" si="4"/>
        <v>26415</v>
      </c>
      <c r="HY6" s="78">
        <f t="shared" si="4"/>
        <v>26415</v>
      </c>
      <c r="HZ6" s="78">
        <f t="shared" si="4"/>
        <v>26415</v>
      </c>
      <c r="IA6" s="78">
        <f t="shared" si="4"/>
        <v>26415</v>
      </c>
      <c r="IB6" s="78">
        <f t="shared" si="4"/>
        <v>26415</v>
      </c>
      <c r="IC6" s="78">
        <f t="shared" si="4"/>
        <v>26415</v>
      </c>
      <c r="ID6" s="78">
        <f t="shared" si="4"/>
        <v>26415</v>
      </c>
      <c r="IE6" s="78">
        <f t="shared" si="4"/>
        <v>26415</v>
      </c>
      <c r="IF6" s="78">
        <f t="shared" si="4"/>
        <v>26415</v>
      </c>
      <c r="IG6" s="78">
        <f t="shared" si="4"/>
        <v>26415</v>
      </c>
      <c r="IH6" s="78">
        <f t="shared" si="4"/>
        <v>26415</v>
      </c>
      <c r="II6" s="78">
        <f t="shared" si="4"/>
        <v>26415</v>
      </c>
      <c r="IJ6" s="78">
        <f t="shared" si="4"/>
        <v>26415</v>
      </c>
      <c r="IK6" s="78">
        <f t="shared" si="4"/>
        <v>26415</v>
      </c>
      <c r="IL6" s="78">
        <f t="shared" si="4"/>
        <v>26415</v>
      </c>
      <c r="IM6" s="78">
        <f t="shared" si="4"/>
        <v>26415</v>
      </c>
      <c r="IN6" s="78">
        <f t="shared" si="4"/>
        <v>26415</v>
      </c>
      <c r="IO6" s="78">
        <f t="shared" si="4"/>
        <v>26415</v>
      </c>
      <c r="IP6" s="78">
        <f t="shared" si="4"/>
        <v>26415</v>
      </c>
      <c r="IQ6" s="78">
        <f t="shared" si="4"/>
        <v>26415</v>
      </c>
      <c r="IR6" s="78">
        <f t="shared" si="4"/>
        <v>26415</v>
      </c>
      <c r="IS6" s="78">
        <f t="shared" si="4"/>
        <v>26415</v>
      </c>
      <c r="IT6" s="78">
        <f t="shared" si="4"/>
        <v>26415</v>
      </c>
      <c r="IU6" s="78">
        <f t="shared" si="4"/>
        <v>26415</v>
      </c>
      <c r="IV6" s="78">
        <f t="shared" si="4"/>
        <v>26415</v>
      </c>
      <c r="IW6" s="78">
        <f t="shared" si="4"/>
        <v>26415</v>
      </c>
      <c r="IX6" s="78">
        <f t="shared" si="4"/>
        <v>26415</v>
      </c>
      <c r="IY6" s="78">
        <f t="shared" si="4"/>
        <v>26415</v>
      </c>
      <c r="IZ6" s="78">
        <f t="shared" si="4"/>
        <v>26415</v>
      </c>
      <c r="JA6" s="78">
        <f t="shared" si="4"/>
        <v>26415</v>
      </c>
      <c r="JB6" s="78">
        <f t="shared" si="4"/>
        <v>26415</v>
      </c>
      <c r="JC6" s="78">
        <f t="shared" si="4"/>
        <v>26415</v>
      </c>
      <c r="JD6" s="78">
        <f t="shared" si="4"/>
        <v>26415</v>
      </c>
      <c r="JE6" s="78">
        <f t="shared" si="4"/>
        <v>26415</v>
      </c>
      <c r="JF6" s="78">
        <v>40844</v>
      </c>
      <c r="JG6" s="78">
        <v>40844</v>
      </c>
      <c r="JH6" s="78">
        <v>40844</v>
      </c>
      <c r="JI6" s="78">
        <v>40844</v>
      </c>
      <c r="JJ6" s="78">
        <v>40844</v>
      </c>
      <c r="JK6" s="78">
        <v>40844</v>
      </c>
      <c r="JL6" s="78">
        <v>40844</v>
      </c>
      <c r="JM6" s="78">
        <v>40844</v>
      </c>
      <c r="JN6" s="78">
        <v>40844</v>
      </c>
      <c r="JO6" s="78">
        <v>40844</v>
      </c>
      <c r="JP6" s="78">
        <v>40844</v>
      </c>
      <c r="JQ6" s="78">
        <v>40844</v>
      </c>
      <c r="JR6" s="78">
        <v>40844</v>
      </c>
      <c r="JS6" s="78">
        <v>40844</v>
      </c>
      <c r="JT6" s="78">
        <v>40844</v>
      </c>
      <c r="JU6" s="78">
        <v>40844</v>
      </c>
      <c r="JV6" s="78">
        <v>40844</v>
      </c>
      <c r="JW6" s="104">
        <v>40844</v>
      </c>
      <c r="JX6" s="475"/>
      <c r="JY6" s="107" t="s">
        <v>121</v>
      </c>
      <c r="JZ6" s="85" t="s">
        <v>122</v>
      </c>
      <c r="KA6" s="106"/>
      <c r="KB6" s="109" t="s">
        <v>118</v>
      </c>
      <c r="KC6" s="78">
        <v>1890</v>
      </c>
      <c r="KD6" s="78">
        <f>1903-12</f>
        <v>1891</v>
      </c>
      <c r="KE6" s="78">
        <f>1930-12.6</f>
        <v>1917.4</v>
      </c>
      <c r="KF6" s="78">
        <f>1930-12.6</f>
        <v>1917.4</v>
      </c>
      <c r="KG6" s="78">
        <f>2122-12.6</f>
        <v>2109.4</v>
      </c>
      <c r="KH6" s="78">
        <f>2219-12.6</f>
        <v>2206.4</v>
      </c>
      <c r="KI6" s="78">
        <f>2187-12.6</f>
        <v>2174.4</v>
      </c>
      <c r="KJ6" s="78">
        <f>2289-12.6</f>
        <v>2276.4</v>
      </c>
      <c r="KK6" s="123"/>
      <c r="KL6" s="82" t="s">
        <v>123</v>
      </c>
      <c r="KM6" s="7">
        <v>7191</v>
      </c>
      <c r="KN6" s="7">
        <v>6723</v>
      </c>
      <c r="KO6" s="7">
        <v>6494</v>
      </c>
      <c r="KP6" s="7">
        <v>6675</v>
      </c>
      <c r="KQ6" s="7">
        <v>6861</v>
      </c>
      <c r="KR6" s="7">
        <v>6847</v>
      </c>
      <c r="KS6" s="7">
        <v>6846</v>
      </c>
      <c r="KT6" s="7">
        <v>6846</v>
      </c>
      <c r="KU6" s="7">
        <v>6744</v>
      </c>
      <c r="KV6" s="7">
        <v>6878</v>
      </c>
      <c r="KW6" s="7">
        <v>6835</v>
      </c>
      <c r="KX6" s="7">
        <v>6835</v>
      </c>
      <c r="KY6" s="7">
        <v>6587</v>
      </c>
      <c r="KZ6" s="7">
        <v>6576</v>
      </c>
      <c r="LA6" s="7">
        <v>6576</v>
      </c>
      <c r="LB6" s="7">
        <v>6591</v>
      </c>
      <c r="LC6" s="7">
        <v>6313</v>
      </c>
      <c r="LD6" s="7">
        <v>6615</v>
      </c>
      <c r="LE6" s="7">
        <v>6892</v>
      </c>
      <c r="LF6" s="7">
        <v>6578</v>
      </c>
      <c r="LG6" s="7">
        <v>6400</v>
      </c>
      <c r="LH6" s="7">
        <v>6457</v>
      </c>
      <c r="LI6" s="7">
        <v>6008</v>
      </c>
      <c r="LJ6" s="7">
        <v>6367</v>
      </c>
      <c r="LK6" s="7">
        <v>6376</v>
      </c>
      <c r="LL6" s="7">
        <v>6173</v>
      </c>
      <c r="LM6" s="7">
        <v>5849</v>
      </c>
      <c r="LN6" s="7">
        <v>6499</v>
      </c>
      <c r="LO6" s="7">
        <v>6600</v>
      </c>
      <c r="LP6" s="7">
        <v>6600</v>
      </c>
      <c r="LQ6" s="7">
        <v>6550</v>
      </c>
      <c r="LR6" s="7">
        <v>6507</v>
      </c>
      <c r="LS6" s="7">
        <v>6413</v>
      </c>
      <c r="LT6" s="7">
        <v>6413</v>
      </c>
      <c r="LU6" s="7">
        <v>6908</v>
      </c>
      <c r="LV6" s="7">
        <v>7254</v>
      </c>
      <c r="LW6" s="7">
        <v>7254</v>
      </c>
      <c r="LX6" s="7">
        <v>7432</v>
      </c>
      <c r="LY6" s="7">
        <v>7163</v>
      </c>
      <c r="LZ6" s="7">
        <v>7163</v>
      </c>
      <c r="MA6" s="7">
        <v>7288</v>
      </c>
      <c r="MB6" s="7">
        <v>7288</v>
      </c>
      <c r="MC6" s="7">
        <v>7431</v>
      </c>
      <c r="MD6" s="7">
        <v>7427</v>
      </c>
      <c r="ME6" s="7">
        <v>7207</v>
      </c>
      <c r="MF6" s="7">
        <v>7207</v>
      </c>
      <c r="MG6" s="7">
        <v>7207</v>
      </c>
      <c r="MH6" s="7">
        <v>7514</v>
      </c>
      <c r="MI6" s="7">
        <v>7354</v>
      </c>
      <c r="MJ6" s="7">
        <v>7697</v>
      </c>
      <c r="MK6" s="7">
        <v>7697</v>
      </c>
      <c r="ML6" s="7">
        <v>7506</v>
      </c>
      <c r="MM6" s="7">
        <v>8243</v>
      </c>
      <c r="MN6" s="7">
        <v>8291</v>
      </c>
      <c r="MO6" s="7">
        <v>8019</v>
      </c>
      <c r="MP6" s="7">
        <v>8096</v>
      </c>
      <c r="MQ6" s="7">
        <v>8011</v>
      </c>
      <c r="MR6" s="7">
        <v>8107</v>
      </c>
      <c r="MS6" s="7">
        <v>7874</v>
      </c>
      <c r="MT6" s="7">
        <v>7934</v>
      </c>
      <c r="MU6" s="7">
        <v>8078</v>
      </c>
      <c r="MV6" s="7">
        <v>8090</v>
      </c>
      <c r="MW6" s="7">
        <v>8090</v>
      </c>
      <c r="MX6" s="7">
        <v>7873</v>
      </c>
      <c r="MY6" s="7">
        <v>8021</v>
      </c>
      <c r="MZ6" s="7">
        <v>7777</v>
      </c>
      <c r="NA6" s="7">
        <v>7691</v>
      </c>
      <c r="NB6" s="7">
        <v>7526</v>
      </c>
      <c r="NC6" s="7">
        <v>7284</v>
      </c>
      <c r="ND6" s="7">
        <v>7508</v>
      </c>
      <c r="NE6" s="7">
        <v>7486</v>
      </c>
      <c r="NF6" s="7">
        <v>7483</v>
      </c>
      <c r="NG6" s="7">
        <v>7483</v>
      </c>
      <c r="NH6" s="7">
        <v>7820</v>
      </c>
      <c r="NI6" s="7">
        <v>8106</v>
      </c>
      <c r="NJ6" s="7">
        <v>8111</v>
      </c>
      <c r="NK6" s="7">
        <v>8081</v>
      </c>
      <c r="NL6" s="7">
        <v>7857</v>
      </c>
      <c r="NM6" s="7">
        <v>7657</v>
      </c>
      <c r="NN6" s="7">
        <v>7493</v>
      </c>
      <c r="NO6" s="7">
        <v>7588</v>
      </c>
      <c r="NP6" s="7">
        <v>7588</v>
      </c>
      <c r="NQ6" s="7">
        <v>7396</v>
      </c>
      <c r="NR6" s="7">
        <v>7268</v>
      </c>
      <c r="NS6" s="7">
        <v>7435</v>
      </c>
      <c r="NT6" s="7">
        <v>7538</v>
      </c>
      <c r="NU6" s="7">
        <v>7538</v>
      </c>
      <c r="NV6" s="7">
        <v>7349</v>
      </c>
      <c r="NW6" s="7">
        <v>7341</v>
      </c>
      <c r="NX6" s="7">
        <v>7609</v>
      </c>
      <c r="NY6" s="7">
        <v>7790</v>
      </c>
      <c r="NZ6" s="7">
        <v>7602</v>
      </c>
      <c r="OA6" s="7">
        <v>7602</v>
      </c>
      <c r="OB6" s="7">
        <v>8115</v>
      </c>
      <c r="OC6" s="7">
        <v>8102</v>
      </c>
      <c r="OD6" s="7">
        <v>8156</v>
      </c>
      <c r="OE6" s="7">
        <v>8035</v>
      </c>
      <c r="OF6" s="7">
        <v>7905</v>
      </c>
      <c r="OG6" s="7">
        <v>8118</v>
      </c>
      <c r="OH6" s="7">
        <v>8140</v>
      </c>
      <c r="OI6" s="7">
        <v>8140</v>
      </c>
      <c r="OJ6" s="7">
        <v>8140</v>
      </c>
      <c r="OK6" s="7">
        <v>8273</v>
      </c>
      <c r="OL6" s="7">
        <v>8094</v>
      </c>
      <c r="OM6" s="7">
        <v>8104</v>
      </c>
      <c r="ON6" s="7">
        <v>8114</v>
      </c>
      <c r="OO6" s="7">
        <v>8066</v>
      </c>
      <c r="OP6" s="7">
        <v>8131</v>
      </c>
      <c r="OQ6" s="7">
        <v>8131</v>
      </c>
      <c r="OR6" s="7">
        <v>8397</v>
      </c>
      <c r="OS6" s="7">
        <v>8156</v>
      </c>
      <c r="OT6" s="7">
        <v>8146</v>
      </c>
      <c r="OU6" s="7">
        <v>8077</v>
      </c>
      <c r="OV6" s="7">
        <v>8077</v>
      </c>
      <c r="OW6" s="7">
        <v>8077</v>
      </c>
      <c r="OX6" s="7">
        <v>8077</v>
      </c>
      <c r="OY6" s="7">
        <v>8077</v>
      </c>
      <c r="OZ6" s="7">
        <v>8077</v>
      </c>
      <c r="PA6" s="7">
        <v>8077</v>
      </c>
      <c r="PB6" s="7">
        <v>8077</v>
      </c>
      <c r="PC6" s="7">
        <v>8077</v>
      </c>
      <c r="PD6" s="7">
        <v>8077</v>
      </c>
      <c r="PE6" s="7">
        <v>8077</v>
      </c>
      <c r="PF6" s="7">
        <v>8077</v>
      </c>
      <c r="PG6" s="7">
        <v>8077</v>
      </c>
      <c r="PH6" s="7">
        <v>8077</v>
      </c>
      <c r="PI6" s="7">
        <v>8077</v>
      </c>
      <c r="PJ6" s="7">
        <v>8077</v>
      </c>
      <c r="PK6" s="7">
        <v>8077</v>
      </c>
      <c r="PL6" s="7">
        <v>8077</v>
      </c>
      <c r="PM6" s="7">
        <v>8077</v>
      </c>
      <c r="PN6" s="7">
        <v>8077</v>
      </c>
      <c r="PO6" s="7">
        <v>8077</v>
      </c>
      <c r="PP6" s="7">
        <v>8077</v>
      </c>
      <c r="PQ6" s="7">
        <v>8077</v>
      </c>
      <c r="PR6" s="7">
        <v>8077</v>
      </c>
      <c r="PS6" s="7">
        <v>8077</v>
      </c>
      <c r="PT6" s="7">
        <v>8077</v>
      </c>
      <c r="PU6" s="7">
        <v>8077</v>
      </c>
      <c r="PV6" s="7">
        <v>8077</v>
      </c>
      <c r="PW6" s="7">
        <v>8077</v>
      </c>
      <c r="PX6" s="7">
        <v>8077</v>
      </c>
      <c r="PY6" s="7">
        <v>8077</v>
      </c>
      <c r="PZ6" s="7">
        <v>8077</v>
      </c>
      <c r="QA6" s="7">
        <v>8077</v>
      </c>
      <c r="QB6" s="7">
        <v>8077</v>
      </c>
      <c r="QC6" s="7">
        <v>8077</v>
      </c>
      <c r="QD6" s="7">
        <v>8077</v>
      </c>
      <c r="QE6" s="7">
        <v>8077</v>
      </c>
      <c r="QF6" s="7">
        <v>8077</v>
      </c>
      <c r="QG6" s="7">
        <v>8077</v>
      </c>
      <c r="QH6" s="7">
        <v>8077</v>
      </c>
      <c r="QI6" s="7">
        <v>8077</v>
      </c>
      <c r="QJ6" s="7">
        <v>8077</v>
      </c>
      <c r="QK6" s="7">
        <v>8077</v>
      </c>
      <c r="QL6" s="7">
        <v>8077</v>
      </c>
      <c r="QM6" s="7">
        <v>8077</v>
      </c>
      <c r="QN6" s="7">
        <v>8077</v>
      </c>
      <c r="QO6" s="7">
        <v>8077</v>
      </c>
      <c r="QP6" s="7">
        <v>8077</v>
      </c>
      <c r="QQ6" s="7">
        <v>8077</v>
      </c>
      <c r="QR6" s="7">
        <v>8077</v>
      </c>
      <c r="QS6" s="7">
        <v>8077</v>
      </c>
      <c r="QT6" s="7">
        <v>8077</v>
      </c>
      <c r="QU6" s="7">
        <v>8077</v>
      </c>
      <c r="QV6" s="7">
        <v>8077</v>
      </c>
      <c r="QW6" s="7">
        <v>8077</v>
      </c>
      <c r="QX6" s="7">
        <v>8077</v>
      </c>
      <c r="QY6" s="7">
        <v>8077</v>
      </c>
      <c r="QZ6" s="7">
        <v>8077</v>
      </c>
      <c r="RA6" s="7">
        <v>8077</v>
      </c>
      <c r="RB6" s="7">
        <v>8077</v>
      </c>
      <c r="RC6" s="7">
        <v>8077</v>
      </c>
      <c r="RD6" s="7">
        <v>8077</v>
      </c>
      <c r="RE6" s="7">
        <v>8077</v>
      </c>
      <c r="RF6" s="7">
        <v>8077</v>
      </c>
      <c r="RG6" s="7">
        <v>8077</v>
      </c>
      <c r="RH6" s="7">
        <v>8077</v>
      </c>
      <c r="RI6" s="7">
        <v>8077</v>
      </c>
      <c r="RJ6" s="7">
        <v>8077</v>
      </c>
      <c r="RK6" s="7">
        <v>8077</v>
      </c>
      <c r="RL6" s="7">
        <v>8077</v>
      </c>
      <c r="RM6" s="7">
        <v>8077</v>
      </c>
      <c r="RN6" s="7">
        <v>8077</v>
      </c>
      <c r="RO6" s="7">
        <v>8077</v>
      </c>
      <c r="RP6" s="7">
        <v>8077</v>
      </c>
      <c r="RQ6" s="7">
        <v>8077</v>
      </c>
      <c r="RR6" s="7">
        <v>8077</v>
      </c>
      <c r="RS6" s="7">
        <v>8077</v>
      </c>
      <c r="RT6" s="7">
        <v>8077</v>
      </c>
      <c r="RU6" s="7">
        <v>8077</v>
      </c>
      <c r="RV6" s="7">
        <v>8077</v>
      </c>
      <c r="RW6" s="7">
        <v>8077</v>
      </c>
      <c r="RX6" s="7">
        <v>8077</v>
      </c>
      <c r="RY6" s="7">
        <v>8077</v>
      </c>
      <c r="RZ6" s="7">
        <v>8077</v>
      </c>
      <c r="SA6" s="7">
        <v>8077</v>
      </c>
      <c r="SB6" s="7">
        <v>8077</v>
      </c>
      <c r="SC6" s="7">
        <v>8077</v>
      </c>
      <c r="SD6" s="7">
        <v>8077</v>
      </c>
      <c r="SE6" s="7">
        <v>8077</v>
      </c>
      <c r="SF6" s="7">
        <v>8077</v>
      </c>
      <c r="SG6" s="7">
        <v>8077</v>
      </c>
      <c r="SH6" s="7">
        <v>8077</v>
      </c>
      <c r="SI6" s="7">
        <v>8077</v>
      </c>
      <c r="SJ6" s="7">
        <v>8077</v>
      </c>
      <c r="SK6" s="7">
        <v>8077</v>
      </c>
      <c r="SL6" s="7">
        <v>8077</v>
      </c>
      <c r="SM6" s="10">
        <v>8077</v>
      </c>
      <c r="SN6" s="10">
        <v>8077</v>
      </c>
      <c r="SO6" s="10">
        <v>8077</v>
      </c>
      <c r="SP6" s="10">
        <v>8077</v>
      </c>
      <c r="SQ6" s="10">
        <v>8077</v>
      </c>
      <c r="SR6" s="10">
        <v>8077</v>
      </c>
      <c r="SS6" s="10">
        <v>8077</v>
      </c>
      <c r="ST6" s="10">
        <v>8077</v>
      </c>
      <c r="SU6" s="10">
        <v>8077</v>
      </c>
      <c r="SV6" s="10">
        <v>8077</v>
      </c>
      <c r="SW6" s="10">
        <v>8077</v>
      </c>
      <c r="SX6" s="10">
        <v>8420</v>
      </c>
      <c r="SY6" s="10">
        <v>8231</v>
      </c>
      <c r="SZ6" s="10">
        <v>8469</v>
      </c>
      <c r="TA6" s="10">
        <v>8315</v>
      </c>
      <c r="TB6" s="10">
        <v>8211</v>
      </c>
      <c r="TC6" s="10">
        <v>8911</v>
      </c>
      <c r="TD6" s="10">
        <v>8526</v>
      </c>
      <c r="TE6" s="10">
        <v>8869</v>
      </c>
      <c r="TF6" s="10">
        <v>8860</v>
      </c>
      <c r="TG6" s="10">
        <v>9678</v>
      </c>
      <c r="TH6" s="10">
        <v>9165</v>
      </c>
      <c r="TI6" s="10">
        <v>9076</v>
      </c>
      <c r="TJ6" s="10">
        <v>9136</v>
      </c>
      <c r="TK6" s="10">
        <v>8982</v>
      </c>
      <c r="TL6" s="10">
        <v>9196</v>
      </c>
      <c r="TM6" s="10">
        <v>9222</v>
      </c>
      <c r="TN6" s="10">
        <v>9382</v>
      </c>
      <c r="TO6" s="10">
        <v>9663</v>
      </c>
      <c r="TP6" s="10">
        <v>9730</v>
      </c>
      <c r="TQ6" s="10">
        <v>10283</v>
      </c>
      <c r="TR6" s="10">
        <v>10178</v>
      </c>
      <c r="TS6" s="10">
        <v>10072</v>
      </c>
      <c r="TT6" s="10">
        <v>10009</v>
      </c>
      <c r="TU6" s="10">
        <v>10111</v>
      </c>
      <c r="TV6" s="10">
        <v>10110</v>
      </c>
      <c r="TW6" s="10">
        <v>9954</v>
      </c>
      <c r="TX6" s="10">
        <v>9835</v>
      </c>
      <c r="TY6" s="10">
        <v>10153</v>
      </c>
      <c r="TZ6" s="10">
        <v>9925</v>
      </c>
      <c r="UA6" s="10">
        <v>9883</v>
      </c>
      <c r="UB6" s="10">
        <v>10066</v>
      </c>
      <c r="UC6" s="10">
        <v>9921</v>
      </c>
      <c r="UD6" s="10">
        <v>9247</v>
      </c>
      <c r="UE6" s="10">
        <v>9247</v>
      </c>
      <c r="UF6" s="10">
        <v>9316</v>
      </c>
      <c r="UG6" s="10">
        <v>9086</v>
      </c>
      <c r="UH6" s="10">
        <v>9019</v>
      </c>
      <c r="UI6" s="10">
        <v>9186</v>
      </c>
      <c r="UJ6" s="10">
        <v>9265</v>
      </c>
      <c r="UK6" s="10">
        <v>9397</v>
      </c>
      <c r="UL6" s="10">
        <v>9189</v>
      </c>
      <c r="UM6" s="10">
        <v>9130</v>
      </c>
      <c r="UN6" s="10">
        <v>9156</v>
      </c>
      <c r="UO6" s="10">
        <v>9093</v>
      </c>
      <c r="UP6" s="10">
        <v>9322</v>
      </c>
      <c r="UQ6" s="10">
        <v>9104</v>
      </c>
      <c r="UR6" s="10">
        <v>8937</v>
      </c>
      <c r="US6" s="10">
        <v>9621</v>
      </c>
      <c r="UT6" s="10">
        <v>9893</v>
      </c>
      <c r="UU6" s="10">
        <v>9686</v>
      </c>
      <c r="UV6" s="10">
        <v>9616</v>
      </c>
      <c r="UW6" s="10">
        <v>9623</v>
      </c>
      <c r="UX6" s="10">
        <v>9415</v>
      </c>
      <c r="UY6" s="10">
        <v>9274</v>
      </c>
      <c r="UZ6" s="10">
        <v>9242</v>
      </c>
      <c r="VA6" s="10">
        <v>9242</v>
      </c>
      <c r="VB6" s="10">
        <v>9639</v>
      </c>
      <c r="VC6" s="10">
        <v>9729</v>
      </c>
      <c r="VD6" s="10">
        <v>10031</v>
      </c>
      <c r="VE6" s="10">
        <v>9573</v>
      </c>
      <c r="VF6" s="10">
        <v>9445</v>
      </c>
      <c r="VG6" s="10">
        <v>9516</v>
      </c>
      <c r="VH6" s="10">
        <v>9668</v>
      </c>
      <c r="VI6" s="10">
        <v>9404</v>
      </c>
      <c r="VJ6" s="10">
        <v>9127</v>
      </c>
      <c r="VK6" s="10">
        <v>9285</v>
      </c>
      <c r="VL6" s="10">
        <v>9926</v>
      </c>
      <c r="VM6" s="10">
        <v>9516</v>
      </c>
      <c r="VN6" s="10">
        <v>9339</v>
      </c>
      <c r="VO6" s="10">
        <v>9302</v>
      </c>
      <c r="VP6" s="10">
        <v>9477</v>
      </c>
      <c r="VQ6" s="10">
        <v>9720</v>
      </c>
      <c r="VR6" s="10">
        <v>9879</v>
      </c>
      <c r="VS6" s="10">
        <v>9351</v>
      </c>
      <c r="VT6" s="10">
        <v>8828</v>
      </c>
      <c r="VU6" s="10">
        <v>8750</v>
      </c>
      <c r="VV6" s="10">
        <v>8644</v>
      </c>
      <c r="VW6" s="10">
        <v>8466</v>
      </c>
      <c r="VX6" s="10">
        <v>8554</v>
      </c>
      <c r="VY6" s="10">
        <v>8655</v>
      </c>
      <c r="VZ6" s="10">
        <v>8927</v>
      </c>
      <c r="WA6" s="10">
        <v>9115</v>
      </c>
      <c r="WB6" s="10">
        <v>8857</v>
      </c>
      <c r="WC6" s="10">
        <v>8697</v>
      </c>
      <c r="WD6" s="10">
        <v>8693</v>
      </c>
      <c r="WE6" s="10">
        <v>8203</v>
      </c>
      <c r="WF6" s="10">
        <v>8008</v>
      </c>
      <c r="WG6" s="10">
        <v>7565</v>
      </c>
      <c r="WH6" s="10">
        <v>7955</v>
      </c>
      <c r="WI6" s="10">
        <v>8225</v>
      </c>
      <c r="WJ6" s="10">
        <v>8433</v>
      </c>
      <c r="WK6" s="10">
        <v>8633</v>
      </c>
      <c r="WL6" s="10">
        <v>8903</v>
      </c>
      <c r="WM6" s="10">
        <v>8249</v>
      </c>
      <c r="WN6" s="10">
        <v>8709</v>
      </c>
      <c r="WO6" s="10">
        <v>8233</v>
      </c>
      <c r="WP6" s="10">
        <v>7808</v>
      </c>
      <c r="WQ6" s="10">
        <v>7350</v>
      </c>
      <c r="WR6" s="10">
        <v>7142</v>
      </c>
      <c r="WS6" s="10">
        <v>7209</v>
      </c>
      <c r="WT6" s="10">
        <v>7398</v>
      </c>
      <c r="WU6" s="10">
        <v>7409</v>
      </c>
      <c r="WV6" s="10">
        <v>7280</v>
      </c>
      <c r="WW6" s="10">
        <v>7096</v>
      </c>
      <c r="WX6" s="10">
        <v>7611</v>
      </c>
      <c r="WY6" s="10">
        <v>8388</v>
      </c>
      <c r="WZ6" s="10">
        <v>7963</v>
      </c>
      <c r="XA6" s="10">
        <v>8064</v>
      </c>
      <c r="XB6" s="10">
        <v>8051</v>
      </c>
      <c r="XC6" s="10">
        <v>8313</v>
      </c>
      <c r="XD6" s="10">
        <v>8313</v>
      </c>
      <c r="XE6" s="10">
        <v>8665</v>
      </c>
      <c r="XF6" s="10">
        <v>9855</v>
      </c>
      <c r="XG6" s="10">
        <v>9392</v>
      </c>
      <c r="XH6" s="10">
        <v>9134</v>
      </c>
      <c r="XI6" s="10">
        <v>8879</v>
      </c>
      <c r="XJ6" s="10">
        <v>8806</v>
      </c>
      <c r="XK6" s="10">
        <v>9299</v>
      </c>
      <c r="XL6" s="10">
        <v>9086</v>
      </c>
      <c r="XM6" s="10">
        <v>9180</v>
      </c>
      <c r="XN6" s="10">
        <v>9063</v>
      </c>
      <c r="XO6" s="10">
        <v>8908</v>
      </c>
      <c r="XP6" s="10">
        <v>8653</v>
      </c>
      <c r="XQ6" s="10">
        <v>8653</v>
      </c>
      <c r="XR6" s="10">
        <v>8852</v>
      </c>
      <c r="XS6" s="10">
        <v>9237</v>
      </c>
      <c r="XT6" s="10">
        <v>9237</v>
      </c>
      <c r="XU6" s="10">
        <v>8977</v>
      </c>
      <c r="XV6" s="10">
        <v>8776</v>
      </c>
      <c r="XW6" s="10">
        <v>8776</v>
      </c>
      <c r="XX6" s="10">
        <v>8725</v>
      </c>
      <c r="XY6" s="10">
        <v>9121</v>
      </c>
      <c r="XZ6" s="10">
        <v>9121</v>
      </c>
      <c r="YA6" s="10">
        <v>9121</v>
      </c>
      <c r="YB6" s="10">
        <v>9029</v>
      </c>
      <c r="YC6" s="10">
        <v>8658</v>
      </c>
      <c r="YD6" s="10">
        <v>8658</v>
      </c>
      <c r="YE6" s="10">
        <v>8844</v>
      </c>
      <c r="YF6" s="10">
        <v>8742</v>
      </c>
      <c r="YG6" s="10">
        <v>8656</v>
      </c>
      <c r="YH6" s="10">
        <v>8656</v>
      </c>
      <c r="YI6" s="10">
        <v>8715</v>
      </c>
      <c r="YJ6" s="10">
        <v>8601</v>
      </c>
      <c r="YK6" s="10">
        <v>8459</v>
      </c>
      <c r="YL6" s="10">
        <v>8447</v>
      </c>
      <c r="YM6" s="10">
        <v>8488</v>
      </c>
      <c r="YN6" s="10">
        <v>8475</v>
      </c>
      <c r="YO6" s="10">
        <v>8371</v>
      </c>
      <c r="YP6" s="10">
        <v>7774</v>
      </c>
      <c r="YQ6" s="10">
        <v>7774</v>
      </c>
      <c r="YR6" s="10">
        <v>7774</v>
      </c>
      <c r="YS6" s="10">
        <v>7774</v>
      </c>
      <c r="YT6" s="10">
        <v>7774</v>
      </c>
      <c r="YU6" s="10">
        <v>7774</v>
      </c>
      <c r="YV6" s="10">
        <v>8586</v>
      </c>
      <c r="YW6" s="10">
        <v>8406</v>
      </c>
      <c r="YX6" s="10">
        <v>8301</v>
      </c>
      <c r="YY6" s="10">
        <v>8301</v>
      </c>
      <c r="YZ6" s="10">
        <v>8667</v>
      </c>
      <c r="ZA6" s="10">
        <v>8834</v>
      </c>
      <c r="ZB6" s="10">
        <v>8629</v>
      </c>
      <c r="ZC6" s="10">
        <v>8555</v>
      </c>
      <c r="ZD6" s="10">
        <v>8572</v>
      </c>
      <c r="ZE6" s="10">
        <v>8364</v>
      </c>
      <c r="ZF6" s="10">
        <v>9224</v>
      </c>
      <c r="ZG6" s="10">
        <v>9491</v>
      </c>
      <c r="ZH6" s="10">
        <v>9466</v>
      </c>
      <c r="ZI6" s="10">
        <v>9466</v>
      </c>
      <c r="ZJ6" s="10">
        <v>9245</v>
      </c>
      <c r="ZK6" s="10">
        <v>9157</v>
      </c>
      <c r="ZL6" s="10">
        <v>8978</v>
      </c>
      <c r="ZM6" s="10">
        <v>8739</v>
      </c>
      <c r="ZN6" s="10">
        <v>8895</v>
      </c>
      <c r="ZO6" s="10">
        <v>9329</v>
      </c>
      <c r="ZP6" s="10">
        <v>8889</v>
      </c>
      <c r="ZQ6" s="10">
        <v>8456</v>
      </c>
      <c r="ZR6" s="10">
        <v>8364</v>
      </c>
      <c r="ZS6" s="10">
        <v>8364</v>
      </c>
      <c r="ZT6" s="10">
        <v>8364</v>
      </c>
      <c r="ZU6" s="10">
        <v>8364</v>
      </c>
      <c r="ZV6" s="10">
        <v>8364</v>
      </c>
      <c r="ZW6" s="10">
        <v>8364</v>
      </c>
      <c r="ZX6" s="10">
        <v>8257</v>
      </c>
      <c r="ZY6" s="10">
        <v>8743</v>
      </c>
      <c r="ZZ6" s="10">
        <v>8743</v>
      </c>
      <c r="AAA6" s="10">
        <v>8408</v>
      </c>
      <c r="AAB6" s="10">
        <v>8302</v>
      </c>
      <c r="AAC6" s="10">
        <v>8084</v>
      </c>
      <c r="AAD6" s="10">
        <v>7936</v>
      </c>
      <c r="AAE6" s="10">
        <v>8069</v>
      </c>
      <c r="AAF6" s="10">
        <v>8069</v>
      </c>
      <c r="AAG6" s="10">
        <v>8686</v>
      </c>
      <c r="AAH6" s="10">
        <v>8333</v>
      </c>
      <c r="AAI6" s="10">
        <v>8272</v>
      </c>
      <c r="AAJ6" s="10">
        <v>8731</v>
      </c>
      <c r="AAK6" s="10">
        <v>8766</v>
      </c>
      <c r="AAL6" s="10">
        <v>8815</v>
      </c>
      <c r="AAM6" s="10">
        <v>8690</v>
      </c>
      <c r="AAN6" s="10">
        <v>8690</v>
      </c>
      <c r="AAO6" s="10">
        <v>8795</v>
      </c>
      <c r="AAP6" s="10">
        <v>8524</v>
      </c>
      <c r="AAQ6" s="10">
        <v>8208</v>
      </c>
      <c r="AAR6" s="10">
        <v>8208</v>
      </c>
      <c r="AAS6" s="10">
        <v>8499</v>
      </c>
      <c r="AAT6" s="10">
        <v>8251</v>
      </c>
      <c r="AAU6" s="10">
        <v>8039</v>
      </c>
      <c r="AAV6" s="10">
        <v>7795</v>
      </c>
      <c r="AAW6" s="10">
        <v>7795</v>
      </c>
      <c r="AAX6" s="10">
        <v>7588</v>
      </c>
      <c r="AAY6" s="10">
        <v>7505</v>
      </c>
      <c r="AAZ6" s="10">
        <v>7621</v>
      </c>
      <c r="ABA6" s="10">
        <v>7412</v>
      </c>
      <c r="ABB6" s="10">
        <v>7600</v>
      </c>
      <c r="ABC6" s="10">
        <v>7716</v>
      </c>
      <c r="ABD6" s="10">
        <v>7716</v>
      </c>
      <c r="ABF6" s="113" t="s">
        <v>66</v>
      </c>
      <c r="ABG6" s="10">
        <v>839.4076000000299</v>
      </c>
      <c r="ABH6" s="9">
        <f t="shared" si="0"/>
        <v>0.49376917647060581</v>
      </c>
      <c r="ABI6" s="126">
        <f>IF((ABN6*0.93)-ABG6&lt;0,0,(ABN6*0.93)-ABG6)</f>
        <v>741.5923999999701</v>
      </c>
      <c r="ABJ6" s="48"/>
      <c r="ABK6" s="10">
        <f t="shared" si="1"/>
        <v>775.5923999999701</v>
      </c>
      <c r="ABL6" s="113" t="s">
        <v>66</v>
      </c>
      <c r="ABM6" s="8" t="s">
        <v>47</v>
      </c>
      <c r="ABN6" s="78">
        <v>1700</v>
      </c>
      <c r="ABO6" s="7"/>
      <c r="ABP6" t="s">
        <v>124</v>
      </c>
      <c r="ABR6" t="s">
        <v>125</v>
      </c>
      <c r="ABS6" t="s">
        <v>126</v>
      </c>
    </row>
    <row r="7" spans="1:769" ht="30" x14ac:dyDescent="0.25">
      <c r="A7" s="6"/>
      <c r="B7" s="8"/>
      <c r="C7" s="76"/>
      <c r="EX7" s="7"/>
      <c r="EY7" s="7"/>
      <c r="EZ7" s="78"/>
      <c r="FA7" s="78"/>
      <c r="FB7" s="78"/>
      <c r="FC7" s="78"/>
      <c r="FD7" s="78"/>
      <c r="FE7" s="78"/>
      <c r="FF7" s="78"/>
      <c r="FG7" s="78"/>
      <c r="FH7" s="78"/>
      <c r="FI7" s="78"/>
      <c r="FJ7" s="78"/>
      <c r="FK7" s="78"/>
      <c r="FL7" s="78"/>
      <c r="FM7" s="78"/>
      <c r="FN7" s="78"/>
      <c r="FO7" s="78"/>
      <c r="FP7" s="78"/>
      <c r="FQ7" s="78"/>
      <c r="FR7" s="78"/>
      <c r="FS7" s="78"/>
      <c r="FT7" s="78"/>
      <c r="FU7" s="78"/>
      <c r="FV7" s="78"/>
      <c r="FW7" s="78"/>
      <c r="FX7" s="78"/>
      <c r="FY7" s="78"/>
      <c r="FZ7" s="78"/>
      <c r="GA7" s="78"/>
      <c r="GB7" s="78"/>
      <c r="GC7" s="78"/>
      <c r="GD7" s="78"/>
      <c r="GE7" s="78"/>
      <c r="GF7" s="78"/>
      <c r="GG7" s="78"/>
      <c r="GH7" s="78"/>
      <c r="GI7" s="78"/>
      <c r="GJ7" s="78"/>
      <c r="GK7" s="78"/>
      <c r="GL7" s="78"/>
      <c r="GM7" s="78"/>
      <c r="GN7" s="78">
        <v>215</v>
      </c>
      <c r="GO7" s="78">
        <v>215</v>
      </c>
      <c r="GP7" s="78">
        <v>279</v>
      </c>
      <c r="GQ7" s="78">
        <v>305</v>
      </c>
      <c r="GR7" s="78">
        <v>305</v>
      </c>
      <c r="GS7" s="78">
        <v>359</v>
      </c>
      <c r="GT7" s="78">
        <v>390</v>
      </c>
      <c r="GU7" s="78">
        <v>407</v>
      </c>
      <c r="GV7" s="78">
        <v>412</v>
      </c>
      <c r="GW7" s="78">
        <v>437</v>
      </c>
      <c r="GX7" s="78">
        <v>419</v>
      </c>
      <c r="GY7" s="78">
        <v>379</v>
      </c>
      <c r="GZ7" s="78">
        <v>379</v>
      </c>
      <c r="HA7" s="78">
        <v>315</v>
      </c>
      <c r="HB7" s="78">
        <v>248</v>
      </c>
      <c r="HC7" s="78">
        <v>229</v>
      </c>
      <c r="HD7" s="78">
        <v>247</v>
      </c>
      <c r="HE7" s="78">
        <v>272</v>
      </c>
      <c r="HF7" s="78">
        <v>298</v>
      </c>
      <c r="HG7" s="78">
        <v>301</v>
      </c>
      <c r="HH7" s="78">
        <v>327</v>
      </c>
      <c r="HI7" s="78">
        <v>357</v>
      </c>
      <c r="HJ7" s="78">
        <v>365</v>
      </c>
      <c r="HK7" s="78">
        <v>308</v>
      </c>
      <c r="HL7" s="78">
        <v>341</v>
      </c>
      <c r="HM7" s="78">
        <v>428</v>
      </c>
      <c r="HN7" s="78">
        <v>462</v>
      </c>
      <c r="HO7" s="78">
        <v>412</v>
      </c>
      <c r="HP7" s="78">
        <v>299</v>
      </c>
      <c r="HQ7" s="78">
        <v>318</v>
      </c>
      <c r="HR7" s="78">
        <v>311</v>
      </c>
      <c r="HS7" s="78">
        <v>332</v>
      </c>
      <c r="HT7" s="78">
        <v>336</v>
      </c>
      <c r="HU7" s="78">
        <v>338</v>
      </c>
      <c r="HV7" s="78">
        <v>352</v>
      </c>
      <c r="HW7" s="78">
        <v>329</v>
      </c>
      <c r="HX7" s="78">
        <v>353</v>
      </c>
      <c r="HY7" s="78">
        <v>390</v>
      </c>
      <c r="HZ7" s="78">
        <v>389</v>
      </c>
      <c r="IA7" s="78">
        <v>375</v>
      </c>
      <c r="IB7" s="78">
        <v>400</v>
      </c>
      <c r="IC7" s="78">
        <v>421</v>
      </c>
      <c r="ID7" s="78">
        <v>420</v>
      </c>
      <c r="IE7" s="78">
        <v>443</v>
      </c>
      <c r="IF7" s="78">
        <v>418</v>
      </c>
      <c r="IG7" s="78">
        <v>272</v>
      </c>
      <c r="IH7" s="78">
        <v>211</v>
      </c>
      <c r="II7" s="78">
        <v>237</v>
      </c>
      <c r="IJ7" s="78">
        <v>258</v>
      </c>
      <c r="IK7" s="78">
        <v>274</v>
      </c>
      <c r="IL7" s="78">
        <v>296</v>
      </c>
      <c r="IM7" s="78">
        <v>296</v>
      </c>
      <c r="IN7" s="78">
        <v>350</v>
      </c>
      <c r="IO7" s="78">
        <v>381</v>
      </c>
      <c r="IP7" s="78">
        <v>402</v>
      </c>
      <c r="IQ7" s="78">
        <v>402</v>
      </c>
      <c r="IR7" s="78">
        <v>352</v>
      </c>
      <c r="IS7" s="78">
        <v>352</v>
      </c>
      <c r="IT7" s="78">
        <v>375</v>
      </c>
      <c r="IU7" s="78">
        <v>375</v>
      </c>
      <c r="IV7" s="78">
        <v>375</v>
      </c>
      <c r="IW7" s="78">
        <v>375</v>
      </c>
      <c r="IX7" s="78">
        <v>375</v>
      </c>
      <c r="IY7" s="78">
        <v>375</v>
      </c>
      <c r="IZ7" s="78">
        <v>375</v>
      </c>
      <c r="JA7" s="78">
        <v>304</v>
      </c>
      <c r="JB7" s="78">
        <v>304</v>
      </c>
      <c r="JC7" s="78">
        <v>304</v>
      </c>
      <c r="JD7" s="78">
        <v>165</v>
      </c>
      <c r="JE7" s="78">
        <v>165</v>
      </c>
      <c r="JF7" s="78">
        <v>0</v>
      </c>
      <c r="JG7" s="78">
        <v>0</v>
      </c>
      <c r="JH7" s="78">
        <v>0</v>
      </c>
      <c r="JI7" s="78">
        <v>0</v>
      </c>
      <c r="JJ7" s="78">
        <v>0</v>
      </c>
      <c r="JK7" s="78">
        <v>0</v>
      </c>
      <c r="JL7" s="78">
        <v>0</v>
      </c>
      <c r="JM7" s="78">
        <v>0</v>
      </c>
      <c r="JN7" s="78">
        <v>0</v>
      </c>
      <c r="JO7" s="78">
        <v>0</v>
      </c>
      <c r="JP7" s="78">
        <v>0</v>
      </c>
      <c r="JQ7" s="78">
        <v>0</v>
      </c>
      <c r="JR7" s="78">
        <v>0</v>
      </c>
      <c r="JS7" s="78">
        <v>0</v>
      </c>
      <c r="JT7" s="78">
        <v>0</v>
      </c>
      <c r="JU7" s="78">
        <v>0</v>
      </c>
      <c r="JV7" s="78">
        <v>0</v>
      </c>
      <c r="JW7" s="104">
        <v>0</v>
      </c>
      <c r="JX7" s="475"/>
      <c r="JY7" s="107" t="s">
        <v>127</v>
      </c>
      <c r="JZ7" s="85" t="s">
        <v>47</v>
      </c>
      <c r="KA7" s="106"/>
      <c r="KB7" s="82" t="s">
        <v>123</v>
      </c>
      <c r="KC7" s="7">
        <v>5520</v>
      </c>
      <c r="KD7" s="7">
        <v>5778</v>
      </c>
      <c r="KE7" s="7">
        <v>6335</v>
      </c>
      <c r="KF7" s="7">
        <v>6335</v>
      </c>
      <c r="KG7" s="7">
        <v>6335</v>
      </c>
      <c r="KH7" s="7">
        <v>6335</v>
      </c>
      <c r="KI7" s="7">
        <v>7065</v>
      </c>
      <c r="KJ7" s="7">
        <v>7191</v>
      </c>
      <c r="KL7" s="6" t="s">
        <v>82</v>
      </c>
      <c r="KM7" s="7">
        <v>755</v>
      </c>
      <c r="KN7" s="7">
        <v>756</v>
      </c>
      <c r="KO7" s="7">
        <v>792</v>
      </c>
      <c r="KP7" s="7">
        <v>684</v>
      </c>
      <c r="KQ7" s="7">
        <v>916</v>
      </c>
      <c r="KR7" s="7">
        <v>748</v>
      </c>
      <c r="KS7" s="7">
        <v>786</v>
      </c>
      <c r="KT7" s="7">
        <v>786</v>
      </c>
      <c r="KU7" s="7">
        <v>970</v>
      </c>
      <c r="KV7" s="7">
        <v>834</v>
      </c>
      <c r="KW7" s="7">
        <v>859</v>
      </c>
      <c r="KX7" s="7">
        <v>859</v>
      </c>
      <c r="KY7" s="7">
        <v>871</v>
      </c>
      <c r="KZ7" s="7">
        <v>983</v>
      </c>
      <c r="LA7" s="7">
        <v>983</v>
      </c>
      <c r="LB7" s="7">
        <v>963</v>
      </c>
      <c r="LC7" s="7">
        <v>956</v>
      </c>
      <c r="LD7" s="7">
        <v>963</v>
      </c>
      <c r="LE7" s="7">
        <v>1060</v>
      </c>
      <c r="LF7" s="7">
        <v>1029</v>
      </c>
      <c r="LG7" s="7">
        <v>980</v>
      </c>
      <c r="LH7" s="7">
        <v>875</v>
      </c>
      <c r="LI7" s="7">
        <v>942</v>
      </c>
      <c r="LJ7" s="7">
        <v>953</v>
      </c>
      <c r="LK7" s="7">
        <v>876</v>
      </c>
      <c r="LL7" s="7">
        <v>855</v>
      </c>
      <c r="LM7" s="7">
        <v>754</v>
      </c>
      <c r="LN7" s="7">
        <v>947</v>
      </c>
      <c r="LO7" s="7">
        <v>868</v>
      </c>
      <c r="LP7" s="7">
        <v>868</v>
      </c>
      <c r="LQ7" s="7">
        <v>868</v>
      </c>
      <c r="LR7" s="7">
        <v>907</v>
      </c>
      <c r="LS7" s="7">
        <v>895</v>
      </c>
      <c r="LT7" s="7">
        <v>895</v>
      </c>
      <c r="LU7" s="7">
        <v>884</v>
      </c>
      <c r="LV7" s="7">
        <v>841</v>
      </c>
      <c r="LW7" s="7">
        <v>841</v>
      </c>
      <c r="LX7" s="7">
        <v>841</v>
      </c>
      <c r="LY7" s="7">
        <v>879</v>
      </c>
      <c r="LZ7" s="7">
        <v>879</v>
      </c>
      <c r="MA7" s="7">
        <v>811</v>
      </c>
      <c r="MB7" s="7">
        <v>811</v>
      </c>
      <c r="MC7" s="7">
        <v>685</v>
      </c>
      <c r="MD7" s="7">
        <v>685</v>
      </c>
      <c r="ME7" s="7">
        <v>618</v>
      </c>
      <c r="MF7" s="7">
        <v>618</v>
      </c>
      <c r="MG7" s="7">
        <v>618</v>
      </c>
      <c r="MH7" s="7">
        <v>710</v>
      </c>
      <c r="MI7" s="7">
        <v>685</v>
      </c>
      <c r="MJ7" s="7">
        <v>648</v>
      </c>
      <c r="MK7" s="7">
        <v>648</v>
      </c>
      <c r="ML7" s="7">
        <v>625</v>
      </c>
      <c r="MM7" s="7">
        <v>843</v>
      </c>
      <c r="MN7" s="7">
        <v>849</v>
      </c>
      <c r="MO7" s="7">
        <v>794</v>
      </c>
      <c r="MP7" s="7">
        <v>794</v>
      </c>
      <c r="MQ7" s="7">
        <v>703</v>
      </c>
      <c r="MR7" s="7">
        <v>861</v>
      </c>
      <c r="MS7" s="7">
        <v>825</v>
      </c>
      <c r="MT7" s="7">
        <v>825</v>
      </c>
      <c r="MU7" s="7">
        <v>880</v>
      </c>
      <c r="MV7" s="7">
        <v>844</v>
      </c>
      <c r="MW7" s="7">
        <v>844</v>
      </c>
      <c r="MX7" s="7">
        <v>833</v>
      </c>
      <c r="MY7" s="7">
        <v>464</v>
      </c>
      <c r="MZ7" s="7">
        <v>755</v>
      </c>
      <c r="NA7" s="7">
        <v>778</v>
      </c>
      <c r="NB7" s="7">
        <v>776</v>
      </c>
      <c r="NC7" s="7">
        <v>747</v>
      </c>
      <c r="ND7" s="7">
        <v>726</v>
      </c>
      <c r="NE7" s="7">
        <v>725</v>
      </c>
      <c r="NF7" s="7">
        <v>583</v>
      </c>
      <c r="NG7" s="7">
        <v>583</v>
      </c>
      <c r="NH7" s="7">
        <v>855</v>
      </c>
      <c r="NI7" s="7">
        <v>848</v>
      </c>
      <c r="NJ7" s="7">
        <v>821</v>
      </c>
      <c r="NK7" s="7">
        <v>821</v>
      </c>
      <c r="NL7" s="7">
        <v>798</v>
      </c>
      <c r="NM7" s="7">
        <v>882</v>
      </c>
      <c r="NN7" s="7">
        <v>899</v>
      </c>
      <c r="NO7" s="7">
        <v>826</v>
      </c>
      <c r="NP7" s="7">
        <v>826</v>
      </c>
      <c r="NQ7" s="7">
        <v>1001</v>
      </c>
      <c r="NR7" s="7">
        <v>980</v>
      </c>
      <c r="NS7" s="7">
        <v>958</v>
      </c>
      <c r="NT7" s="7">
        <v>949</v>
      </c>
      <c r="NU7" s="7">
        <v>949</v>
      </c>
      <c r="NV7" s="7">
        <v>919</v>
      </c>
      <c r="NW7" s="7">
        <v>875</v>
      </c>
      <c r="NX7" s="7">
        <v>832</v>
      </c>
      <c r="NY7" s="7">
        <v>832</v>
      </c>
      <c r="NZ7" s="7">
        <v>812</v>
      </c>
      <c r="OA7" s="7">
        <v>812</v>
      </c>
      <c r="OB7" s="7">
        <v>890</v>
      </c>
      <c r="OC7" s="7">
        <v>1001</v>
      </c>
      <c r="OD7" s="7">
        <v>1082</v>
      </c>
      <c r="OE7" s="7">
        <v>1171</v>
      </c>
      <c r="OF7" s="7">
        <v>1062</v>
      </c>
      <c r="OG7" s="7">
        <v>911</v>
      </c>
      <c r="OH7" s="7">
        <v>966</v>
      </c>
      <c r="OI7" s="7">
        <v>966</v>
      </c>
      <c r="OJ7" s="7">
        <v>966</v>
      </c>
      <c r="OK7" s="7">
        <v>874</v>
      </c>
      <c r="OL7" s="7">
        <v>874</v>
      </c>
      <c r="OM7" s="7">
        <v>862</v>
      </c>
      <c r="ON7" s="7">
        <v>799</v>
      </c>
      <c r="OO7" s="7">
        <v>779</v>
      </c>
      <c r="OP7" s="7">
        <v>786</v>
      </c>
      <c r="OQ7" s="7">
        <v>786</v>
      </c>
      <c r="OR7" s="7">
        <v>791</v>
      </c>
      <c r="OS7" s="7">
        <v>910</v>
      </c>
      <c r="OT7" s="7">
        <v>910</v>
      </c>
      <c r="OU7" s="7">
        <v>794</v>
      </c>
      <c r="OV7" s="7">
        <v>794</v>
      </c>
      <c r="OW7" s="7">
        <v>794</v>
      </c>
      <c r="OX7" s="7">
        <v>794</v>
      </c>
      <c r="OY7" s="7">
        <v>794</v>
      </c>
      <c r="OZ7" s="7">
        <v>794</v>
      </c>
      <c r="PA7" s="7">
        <v>794</v>
      </c>
      <c r="PB7" s="7">
        <v>794</v>
      </c>
      <c r="PC7" s="7">
        <v>794</v>
      </c>
      <c r="PD7" s="7">
        <v>794</v>
      </c>
      <c r="PE7" s="7">
        <v>794</v>
      </c>
      <c r="PF7" s="7">
        <v>794</v>
      </c>
      <c r="PG7" s="7">
        <v>794</v>
      </c>
      <c r="PH7" s="7">
        <v>794</v>
      </c>
      <c r="PI7" s="7">
        <v>794</v>
      </c>
      <c r="PJ7" s="7">
        <v>794</v>
      </c>
      <c r="PK7" s="7">
        <v>794</v>
      </c>
      <c r="PL7" s="7">
        <v>794</v>
      </c>
      <c r="PM7" s="7">
        <v>794</v>
      </c>
      <c r="PN7" s="7">
        <v>794</v>
      </c>
      <c r="PO7" s="7">
        <v>794</v>
      </c>
      <c r="PP7" s="7">
        <v>794</v>
      </c>
      <c r="PQ7" s="7">
        <v>794</v>
      </c>
      <c r="PR7" s="7">
        <v>794</v>
      </c>
      <c r="PS7" s="7">
        <v>794</v>
      </c>
      <c r="PT7" s="7">
        <v>794</v>
      </c>
      <c r="PU7" s="7">
        <v>794</v>
      </c>
      <c r="PV7" s="7">
        <v>794</v>
      </c>
      <c r="PW7" s="7">
        <v>794</v>
      </c>
      <c r="PX7" s="7">
        <v>794</v>
      </c>
      <c r="PY7" s="7">
        <v>794</v>
      </c>
      <c r="PZ7" s="7">
        <v>794</v>
      </c>
      <c r="QA7" s="7">
        <v>794</v>
      </c>
      <c r="QB7" s="7">
        <v>794</v>
      </c>
      <c r="QC7" s="7">
        <v>794</v>
      </c>
      <c r="QD7" s="7">
        <v>794</v>
      </c>
      <c r="QE7" s="7">
        <v>794</v>
      </c>
      <c r="QF7" s="7">
        <v>794</v>
      </c>
      <c r="QG7" s="7">
        <v>794</v>
      </c>
      <c r="QH7" s="7">
        <v>794</v>
      </c>
      <c r="QI7" s="7">
        <v>794</v>
      </c>
      <c r="QJ7" s="7">
        <v>794</v>
      </c>
      <c r="QK7" s="7">
        <v>794</v>
      </c>
      <c r="QL7" s="7">
        <v>794</v>
      </c>
      <c r="QM7" s="7">
        <v>794</v>
      </c>
      <c r="QN7" s="7">
        <v>794</v>
      </c>
      <c r="QO7" s="7">
        <v>794</v>
      </c>
      <c r="QP7" s="7">
        <v>794</v>
      </c>
      <c r="QQ7" s="7">
        <v>794</v>
      </c>
      <c r="QR7" s="7">
        <v>794</v>
      </c>
      <c r="QS7" s="7">
        <v>794</v>
      </c>
      <c r="QT7" s="7">
        <v>794</v>
      </c>
      <c r="QU7" s="7">
        <v>794</v>
      </c>
      <c r="QV7" s="7">
        <v>794</v>
      </c>
      <c r="QW7" s="7">
        <v>794</v>
      </c>
      <c r="QX7" s="7">
        <v>794</v>
      </c>
      <c r="QY7" s="7">
        <v>794</v>
      </c>
      <c r="QZ7" s="7">
        <v>794</v>
      </c>
      <c r="RA7" s="7">
        <v>794</v>
      </c>
      <c r="RB7" s="7">
        <v>794</v>
      </c>
      <c r="RC7" s="7">
        <v>794</v>
      </c>
      <c r="RD7" s="7">
        <v>794</v>
      </c>
      <c r="RE7" s="7">
        <v>794</v>
      </c>
      <c r="RF7" s="7">
        <v>794</v>
      </c>
      <c r="RG7" s="7">
        <v>794</v>
      </c>
      <c r="RH7" s="7">
        <v>794</v>
      </c>
      <c r="RI7" s="7">
        <v>794</v>
      </c>
      <c r="RJ7" s="7">
        <v>794</v>
      </c>
      <c r="RK7" s="7">
        <v>794</v>
      </c>
      <c r="RL7" s="7">
        <v>794</v>
      </c>
      <c r="RM7" s="7">
        <v>794</v>
      </c>
      <c r="RN7" s="7">
        <v>794</v>
      </c>
      <c r="RO7" s="7">
        <v>794</v>
      </c>
      <c r="RP7" s="7">
        <v>794</v>
      </c>
      <c r="RQ7" s="7">
        <v>794</v>
      </c>
      <c r="RR7" s="7">
        <v>794</v>
      </c>
      <c r="RS7" s="7">
        <v>794</v>
      </c>
      <c r="RT7" s="7">
        <v>794</v>
      </c>
      <c r="RU7" s="7">
        <v>794</v>
      </c>
      <c r="RV7" s="7">
        <v>794</v>
      </c>
      <c r="RW7" s="7">
        <v>794</v>
      </c>
      <c r="RX7" s="7">
        <v>794</v>
      </c>
      <c r="RY7" s="7">
        <v>794</v>
      </c>
      <c r="RZ7" s="7">
        <v>794</v>
      </c>
      <c r="SA7" s="7">
        <v>794</v>
      </c>
      <c r="SB7" s="7">
        <v>794</v>
      </c>
      <c r="SC7" s="7">
        <v>794</v>
      </c>
      <c r="SD7" s="7">
        <v>794</v>
      </c>
      <c r="SE7" s="7">
        <v>794</v>
      </c>
      <c r="SF7" s="7">
        <v>794</v>
      </c>
      <c r="SG7" s="7">
        <v>794</v>
      </c>
      <c r="SH7" s="7">
        <v>794</v>
      </c>
      <c r="SI7" s="7">
        <v>794</v>
      </c>
      <c r="SJ7" s="7">
        <v>794</v>
      </c>
      <c r="SK7" s="7">
        <v>794</v>
      </c>
      <c r="SL7" s="7">
        <v>794</v>
      </c>
      <c r="SM7" s="7">
        <v>794</v>
      </c>
      <c r="SN7" s="7">
        <v>794</v>
      </c>
      <c r="SO7" s="7">
        <v>794</v>
      </c>
      <c r="SP7" s="7">
        <v>794</v>
      </c>
      <c r="SQ7" s="7">
        <v>794</v>
      </c>
      <c r="SR7" s="7">
        <v>794</v>
      </c>
      <c r="SS7" s="7">
        <v>794</v>
      </c>
      <c r="ST7" s="7">
        <v>794</v>
      </c>
      <c r="SU7" s="7">
        <v>794</v>
      </c>
      <c r="SV7" s="7">
        <v>794</v>
      </c>
      <c r="SW7" s="7">
        <v>794</v>
      </c>
      <c r="SX7" s="7">
        <v>1106</v>
      </c>
      <c r="SY7" s="7">
        <v>1191</v>
      </c>
      <c r="SZ7" s="7">
        <v>1154</v>
      </c>
      <c r="TA7" s="7">
        <v>1085</v>
      </c>
      <c r="TB7" s="10">
        <v>1056</v>
      </c>
      <c r="TC7" s="10">
        <v>940</v>
      </c>
      <c r="TD7" s="10">
        <v>900</v>
      </c>
      <c r="TE7" s="10">
        <v>1083</v>
      </c>
      <c r="TF7" s="10">
        <v>1233</v>
      </c>
      <c r="TG7" s="10">
        <v>1167</v>
      </c>
      <c r="TH7" s="10">
        <v>1162</v>
      </c>
      <c r="TI7" s="10">
        <v>1148</v>
      </c>
      <c r="TJ7" s="10">
        <v>1108</v>
      </c>
      <c r="TK7" s="10">
        <v>1057</v>
      </c>
      <c r="TL7" s="10">
        <v>1037</v>
      </c>
      <c r="TM7" s="10">
        <v>1050</v>
      </c>
      <c r="TN7" s="10">
        <v>987</v>
      </c>
      <c r="TO7" s="10">
        <v>1068</v>
      </c>
      <c r="TP7" s="10">
        <v>1052</v>
      </c>
      <c r="TQ7" s="10">
        <v>1122</v>
      </c>
      <c r="TR7" s="10">
        <v>1111</v>
      </c>
      <c r="TS7" s="10">
        <v>1154</v>
      </c>
      <c r="TT7" s="10">
        <v>1178</v>
      </c>
      <c r="TU7" s="10">
        <v>1134</v>
      </c>
      <c r="TV7" s="10">
        <v>1144</v>
      </c>
      <c r="TW7" s="10">
        <v>1154</v>
      </c>
      <c r="TX7" s="10">
        <v>1094</v>
      </c>
      <c r="TY7" s="10">
        <v>1125</v>
      </c>
      <c r="TZ7" s="10">
        <v>1354</v>
      </c>
      <c r="UA7" s="10">
        <v>1366</v>
      </c>
      <c r="UB7" s="10">
        <v>1358</v>
      </c>
      <c r="UC7" s="10">
        <v>1328</v>
      </c>
      <c r="UD7" s="10">
        <v>1263</v>
      </c>
      <c r="UE7" s="10">
        <v>1232</v>
      </c>
      <c r="UF7" s="10">
        <v>1225</v>
      </c>
      <c r="UG7" s="10">
        <v>1202</v>
      </c>
      <c r="UH7" s="10">
        <v>1206</v>
      </c>
      <c r="UI7" s="10">
        <v>1281</v>
      </c>
      <c r="UJ7" s="10">
        <v>1151</v>
      </c>
      <c r="UK7" s="10">
        <v>1142</v>
      </c>
      <c r="UL7" s="10">
        <v>1100</v>
      </c>
      <c r="UM7" s="10">
        <v>1004</v>
      </c>
      <c r="UN7" s="10">
        <v>891</v>
      </c>
      <c r="UO7" s="10">
        <v>766</v>
      </c>
      <c r="UP7" s="10">
        <v>830</v>
      </c>
      <c r="UQ7" s="10">
        <v>749</v>
      </c>
      <c r="UR7" s="10">
        <v>659</v>
      </c>
      <c r="US7" s="10">
        <v>910</v>
      </c>
      <c r="UT7" s="10">
        <v>950</v>
      </c>
      <c r="UU7" s="10">
        <v>953</v>
      </c>
      <c r="UV7" s="10">
        <v>995</v>
      </c>
      <c r="UW7" s="10">
        <v>1003</v>
      </c>
      <c r="UX7" s="10">
        <v>1059</v>
      </c>
      <c r="UY7" s="10">
        <v>1016</v>
      </c>
      <c r="UZ7" s="10">
        <v>1016</v>
      </c>
      <c r="VA7" s="10">
        <v>1016</v>
      </c>
      <c r="VB7" s="10">
        <v>1148</v>
      </c>
      <c r="VC7" s="10">
        <v>1296</v>
      </c>
      <c r="VD7" s="10">
        <v>1358</v>
      </c>
      <c r="VE7" s="10">
        <v>1323</v>
      </c>
      <c r="VF7" s="10">
        <v>1240</v>
      </c>
      <c r="VG7" s="10">
        <v>1129</v>
      </c>
      <c r="VH7" s="10">
        <v>1080</v>
      </c>
      <c r="VI7" s="10">
        <v>1133</v>
      </c>
      <c r="VJ7" s="10">
        <v>1101</v>
      </c>
      <c r="VK7" s="10">
        <v>1033</v>
      </c>
      <c r="VL7" s="10">
        <v>1017</v>
      </c>
      <c r="VM7" s="10">
        <v>1011</v>
      </c>
      <c r="VN7" s="10">
        <v>1123</v>
      </c>
      <c r="VO7" s="10">
        <v>1053</v>
      </c>
      <c r="VP7" s="10">
        <v>1073</v>
      </c>
      <c r="VQ7" s="10">
        <v>1214</v>
      </c>
      <c r="VR7" s="10">
        <v>1209</v>
      </c>
      <c r="VS7" s="10">
        <v>1214</v>
      </c>
      <c r="VT7" s="10">
        <v>1176</v>
      </c>
      <c r="VU7" s="10">
        <v>1041</v>
      </c>
      <c r="VV7" s="10">
        <v>1061</v>
      </c>
      <c r="VW7" s="10">
        <v>1109</v>
      </c>
      <c r="VX7" s="10">
        <v>1108</v>
      </c>
      <c r="VY7" s="10">
        <v>1077</v>
      </c>
      <c r="VZ7" s="10">
        <v>1145</v>
      </c>
      <c r="WA7" s="10">
        <v>1106</v>
      </c>
      <c r="WB7" s="10">
        <v>1074</v>
      </c>
      <c r="WC7" s="10">
        <v>1074</v>
      </c>
      <c r="WD7" s="10">
        <v>1026</v>
      </c>
      <c r="WE7" s="10">
        <v>1165</v>
      </c>
      <c r="WF7" s="10">
        <v>1124</v>
      </c>
      <c r="WG7" s="10">
        <v>1104</v>
      </c>
      <c r="WH7" s="10">
        <v>1108</v>
      </c>
      <c r="WI7" s="10">
        <v>1162</v>
      </c>
      <c r="WJ7" s="10">
        <v>1160</v>
      </c>
      <c r="WK7" s="10">
        <v>1360</v>
      </c>
      <c r="WL7" s="10">
        <v>1365</v>
      </c>
      <c r="WM7" s="10">
        <v>1353</v>
      </c>
      <c r="WN7" s="10">
        <v>1349</v>
      </c>
      <c r="WO7" s="10">
        <v>1345</v>
      </c>
      <c r="WP7" s="10">
        <v>1301</v>
      </c>
      <c r="WQ7" s="10">
        <v>1467</v>
      </c>
      <c r="WR7" s="10">
        <v>1417</v>
      </c>
      <c r="WS7" s="10">
        <v>1397</v>
      </c>
      <c r="WT7" s="10">
        <v>1345</v>
      </c>
      <c r="WU7" s="10">
        <v>1344</v>
      </c>
      <c r="WV7" s="10">
        <v>1314</v>
      </c>
      <c r="WW7" s="10">
        <v>1349</v>
      </c>
      <c r="WX7" s="10">
        <v>1455</v>
      </c>
      <c r="WY7" s="10">
        <v>1448</v>
      </c>
      <c r="WZ7" s="10">
        <v>1418</v>
      </c>
      <c r="XA7" s="10">
        <v>1365</v>
      </c>
      <c r="XB7" s="10">
        <v>1315</v>
      </c>
      <c r="XC7" s="10">
        <v>1305</v>
      </c>
      <c r="XD7" s="10">
        <v>1305</v>
      </c>
      <c r="XE7" s="10">
        <v>1298</v>
      </c>
      <c r="XF7" s="10">
        <v>1197</v>
      </c>
      <c r="XG7" s="10">
        <v>1153</v>
      </c>
      <c r="XH7" s="10">
        <v>1113</v>
      </c>
      <c r="XI7" s="10">
        <v>1137</v>
      </c>
      <c r="XJ7" s="10">
        <v>1090</v>
      </c>
      <c r="XK7" s="10">
        <v>1222</v>
      </c>
      <c r="XL7" s="10">
        <v>1281</v>
      </c>
      <c r="XM7" s="10">
        <v>1349</v>
      </c>
      <c r="XN7" s="10">
        <v>1345</v>
      </c>
      <c r="XO7" s="10">
        <v>1306</v>
      </c>
      <c r="XP7" s="10">
        <v>1169</v>
      </c>
      <c r="XQ7" s="10">
        <v>1169</v>
      </c>
      <c r="XR7" s="10">
        <v>1198</v>
      </c>
      <c r="XS7" s="10">
        <v>1156</v>
      </c>
      <c r="XT7" s="10">
        <v>1156</v>
      </c>
      <c r="XU7" s="10">
        <v>985</v>
      </c>
      <c r="XV7" s="10">
        <v>983</v>
      </c>
      <c r="XW7" s="10">
        <v>983</v>
      </c>
      <c r="XX7" s="10">
        <v>950</v>
      </c>
      <c r="XY7" s="10">
        <v>813</v>
      </c>
      <c r="XZ7" s="10">
        <v>813</v>
      </c>
      <c r="YA7" s="10">
        <v>830</v>
      </c>
      <c r="YB7" s="10">
        <v>958</v>
      </c>
      <c r="YC7" s="10">
        <v>917</v>
      </c>
      <c r="YD7" s="10">
        <v>917</v>
      </c>
      <c r="YE7" s="10">
        <v>887</v>
      </c>
      <c r="YF7" s="10">
        <v>832</v>
      </c>
      <c r="YG7" s="10">
        <v>811</v>
      </c>
      <c r="YH7" s="10">
        <v>781</v>
      </c>
      <c r="YI7" s="10">
        <v>741</v>
      </c>
      <c r="YJ7" s="10">
        <v>720</v>
      </c>
      <c r="YK7" s="10">
        <v>680</v>
      </c>
      <c r="YL7" s="10">
        <v>726</v>
      </c>
      <c r="YM7" s="10">
        <v>792</v>
      </c>
      <c r="YN7" s="10">
        <v>839</v>
      </c>
      <c r="YO7" s="10">
        <v>830</v>
      </c>
      <c r="YP7" s="10">
        <v>805</v>
      </c>
      <c r="YQ7" s="10">
        <v>805</v>
      </c>
      <c r="YR7" s="10">
        <v>805</v>
      </c>
      <c r="YS7" s="10">
        <v>805</v>
      </c>
      <c r="YT7" s="10">
        <v>805</v>
      </c>
      <c r="YU7" s="10">
        <v>805</v>
      </c>
      <c r="YV7" s="10">
        <v>757</v>
      </c>
      <c r="YW7" s="10">
        <v>971</v>
      </c>
      <c r="YX7" s="10">
        <v>908</v>
      </c>
      <c r="YY7" s="10">
        <v>908</v>
      </c>
      <c r="YZ7" s="10">
        <v>982</v>
      </c>
      <c r="ZA7" s="10">
        <v>923</v>
      </c>
      <c r="ZB7" s="10">
        <v>1150</v>
      </c>
      <c r="ZC7" s="10">
        <v>1103</v>
      </c>
      <c r="ZD7" s="10">
        <v>1177</v>
      </c>
      <c r="ZE7" s="10">
        <v>1242</v>
      </c>
      <c r="ZF7" s="10">
        <v>1228</v>
      </c>
      <c r="ZG7" s="10">
        <v>1192</v>
      </c>
      <c r="ZH7" s="10">
        <v>1142</v>
      </c>
      <c r="ZI7" s="10">
        <v>1142</v>
      </c>
      <c r="ZJ7" s="10">
        <v>1236</v>
      </c>
      <c r="ZK7" s="10">
        <v>1202</v>
      </c>
      <c r="ZL7" s="10">
        <v>1163</v>
      </c>
      <c r="ZM7" s="10">
        <v>1143</v>
      </c>
      <c r="ZN7" s="10">
        <v>1135</v>
      </c>
      <c r="ZO7" s="10">
        <v>1243</v>
      </c>
      <c r="ZP7" s="10">
        <v>1296</v>
      </c>
      <c r="ZQ7" s="10">
        <v>1276</v>
      </c>
      <c r="ZR7" s="10">
        <v>1127</v>
      </c>
      <c r="ZS7" s="10">
        <v>1127</v>
      </c>
      <c r="ZT7" s="10">
        <v>1127</v>
      </c>
      <c r="ZU7" s="10">
        <v>1127</v>
      </c>
      <c r="ZV7" s="10">
        <v>1127</v>
      </c>
      <c r="ZW7" s="10">
        <v>1127</v>
      </c>
      <c r="ZX7" s="10">
        <v>1088</v>
      </c>
      <c r="ZY7" s="10">
        <v>1097</v>
      </c>
      <c r="ZZ7" s="10">
        <v>1136</v>
      </c>
      <c r="AAA7" s="10">
        <v>1207</v>
      </c>
      <c r="AAB7" s="10">
        <v>1204</v>
      </c>
      <c r="AAC7" s="10">
        <v>1143</v>
      </c>
      <c r="AAD7" s="10">
        <v>1099</v>
      </c>
      <c r="AAE7" s="10">
        <v>1299</v>
      </c>
      <c r="AAF7" s="10">
        <v>1299</v>
      </c>
      <c r="AAG7" s="10">
        <v>1342</v>
      </c>
      <c r="AAH7" s="10">
        <v>1294</v>
      </c>
      <c r="AAI7" s="10">
        <v>1318</v>
      </c>
      <c r="AAJ7" s="10">
        <v>1301</v>
      </c>
      <c r="AAK7" s="10">
        <v>1306</v>
      </c>
      <c r="AAL7" s="10">
        <v>1290</v>
      </c>
      <c r="AAM7" s="10">
        <v>1290</v>
      </c>
      <c r="AAN7" s="10">
        <v>1290</v>
      </c>
      <c r="AAO7" s="10">
        <v>1275</v>
      </c>
      <c r="AAP7" s="10">
        <v>1355</v>
      </c>
      <c r="AAQ7" s="10">
        <v>1353</v>
      </c>
      <c r="AAR7" s="10">
        <v>1353</v>
      </c>
      <c r="AAS7" s="10">
        <v>1265</v>
      </c>
      <c r="AAT7" s="10">
        <v>1321</v>
      </c>
      <c r="AAU7" s="10">
        <v>1275</v>
      </c>
      <c r="AAV7" s="10">
        <v>1310</v>
      </c>
      <c r="AAW7" s="10">
        <v>1310</v>
      </c>
      <c r="AAX7" s="10">
        <v>1325</v>
      </c>
      <c r="AAY7" s="10">
        <v>1286</v>
      </c>
      <c r="AAZ7" s="10">
        <v>1266</v>
      </c>
      <c r="ABA7" s="10">
        <v>1271</v>
      </c>
      <c r="ABB7" s="10">
        <v>1352</v>
      </c>
      <c r="ABC7" s="10">
        <v>1366</v>
      </c>
      <c r="ABD7" s="10">
        <v>1366</v>
      </c>
      <c r="ABF7" s="113" t="s">
        <v>67</v>
      </c>
      <c r="ABG7" s="10">
        <v>4053.9848999999999</v>
      </c>
      <c r="ABH7" s="9">
        <f t="shared" si="0"/>
        <v>0.94278718604651157</v>
      </c>
      <c r="ABI7" s="126">
        <f>IF((ABN7*0.93)-ABG7&lt;0,0,(ABN7*0.93)-ABG7)</f>
        <v>0</v>
      </c>
      <c r="ABJ7" s="48"/>
      <c r="ABK7" s="10">
        <f t="shared" si="1"/>
        <v>31.015100000000075</v>
      </c>
      <c r="ABL7" s="113" t="s">
        <v>67</v>
      </c>
      <c r="ABM7" s="8" t="s">
        <v>47</v>
      </c>
      <c r="ABN7" s="272">
        <v>4300</v>
      </c>
      <c r="ABO7" s="273"/>
    </row>
    <row r="8" spans="1:769" ht="45" x14ac:dyDescent="0.25">
      <c r="A8" s="6" t="s">
        <v>73</v>
      </c>
      <c r="B8" s="8" t="s">
        <v>55</v>
      </c>
      <c r="C8" s="77"/>
      <c r="EX8" s="7"/>
      <c r="EY8" s="7"/>
      <c r="EZ8" s="78">
        <v>3600</v>
      </c>
      <c r="FA8" s="78">
        <v>3600</v>
      </c>
      <c r="FB8" s="78">
        <v>3600</v>
      </c>
      <c r="FC8" s="78">
        <v>3600</v>
      </c>
      <c r="FD8" s="78">
        <v>3600</v>
      </c>
      <c r="FE8" s="78">
        <v>3600</v>
      </c>
      <c r="FF8" s="78">
        <v>3600</v>
      </c>
      <c r="FG8" s="78">
        <v>3600</v>
      </c>
      <c r="FH8" s="78">
        <v>3600</v>
      </c>
      <c r="FI8" s="78">
        <v>3600</v>
      </c>
      <c r="FJ8" s="78">
        <v>3600</v>
      </c>
      <c r="FK8" s="78">
        <v>3600</v>
      </c>
      <c r="FL8" s="78">
        <v>3600</v>
      </c>
      <c r="FM8" s="78">
        <v>3600</v>
      </c>
      <c r="FN8" s="78">
        <v>3600</v>
      </c>
      <c r="FO8" s="78">
        <v>3600</v>
      </c>
      <c r="FP8" s="78">
        <v>3600</v>
      </c>
      <c r="FQ8" s="78">
        <v>3600</v>
      </c>
      <c r="FR8" s="78">
        <v>3600</v>
      </c>
      <c r="FS8" s="78">
        <v>3600</v>
      </c>
      <c r="FT8" s="78">
        <v>3600</v>
      </c>
      <c r="FU8" s="78">
        <v>3600</v>
      </c>
      <c r="FV8" s="78">
        <v>3600</v>
      </c>
      <c r="FW8" s="78">
        <v>3600</v>
      </c>
      <c r="FX8" s="78">
        <v>3600</v>
      </c>
      <c r="FY8" s="78">
        <v>3600</v>
      </c>
      <c r="FZ8" s="78">
        <v>3600</v>
      </c>
      <c r="GA8" s="78">
        <v>3600</v>
      </c>
      <c r="GB8" s="78">
        <v>3600</v>
      </c>
      <c r="GC8" s="78">
        <v>3600</v>
      </c>
      <c r="GD8" s="78">
        <v>3600</v>
      </c>
      <c r="GE8" s="78">
        <v>3600</v>
      </c>
      <c r="GF8" s="78">
        <v>3600</v>
      </c>
      <c r="GG8" s="78">
        <v>3600</v>
      </c>
      <c r="GH8" s="78">
        <v>3600</v>
      </c>
      <c r="GI8" s="78">
        <v>3600</v>
      </c>
      <c r="GJ8" s="78">
        <v>3600</v>
      </c>
      <c r="GK8" s="78">
        <v>3600</v>
      </c>
      <c r="GL8" s="78"/>
      <c r="GM8" s="78">
        <v>3600</v>
      </c>
      <c r="GN8" s="78">
        <v>2132</v>
      </c>
      <c r="GO8" s="78">
        <v>2132</v>
      </c>
      <c r="GP8" s="78">
        <v>2132</v>
      </c>
      <c r="GQ8" s="78">
        <v>2132</v>
      </c>
      <c r="GR8" s="78">
        <v>2132</v>
      </c>
      <c r="GS8" s="78">
        <v>2132</v>
      </c>
      <c r="GT8" s="78">
        <v>2132</v>
      </c>
      <c r="GU8" s="78">
        <v>2132</v>
      </c>
      <c r="GV8" s="78">
        <v>2132</v>
      </c>
      <c r="GW8" s="78">
        <v>2132</v>
      </c>
      <c r="GX8" s="78">
        <v>2132</v>
      </c>
      <c r="GY8" s="78">
        <v>2132</v>
      </c>
      <c r="GZ8" s="78">
        <v>2132</v>
      </c>
      <c r="HA8" s="78">
        <v>2132</v>
      </c>
      <c r="HB8" s="78">
        <v>2132</v>
      </c>
      <c r="HC8" s="78">
        <v>2132</v>
      </c>
      <c r="HD8" s="78">
        <v>2132</v>
      </c>
      <c r="HE8" s="78">
        <v>2132</v>
      </c>
      <c r="HF8" s="78">
        <v>2132</v>
      </c>
      <c r="HG8" s="78">
        <v>2132</v>
      </c>
      <c r="HH8" s="78">
        <v>2132</v>
      </c>
      <c r="HI8" s="78">
        <v>2132</v>
      </c>
      <c r="HJ8" s="78">
        <v>2132</v>
      </c>
      <c r="HK8" s="78">
        <v>2132</v>
      </c>
      <c r="HL8" s="78">
        <v>2132</v>
      </c>
      <c r="HM8" s="78">
        <v>2132</v>
      </c>
      <c r="HN8" s="78">
        <v>2132</v>
      </c>
      <c r="HO8" s="78">
        <v>2132</v>
      </c>
      <c r="HP8" s="78">
        <v>2132</v>
      </c>
      <c r="HQ8" s="78">
        <v>2132</v>
      </c>
      <c r="HR8" s="78">
        <v>2132</v>
      </c>
      <c r="HS8" s="78">
        <v>2132</v>
      </c>
      <c r="HT8" s="78">
        <v>2132</v>
      </c>
      <c r="HU8" s="78">
        <v>2132</v>
      </c>
      <c r="HV8" s="78">
        <v>2132</v>
      </c>
      <c r="HW8" s="78">
        <v>2132</v>
      </c>
      <c r="HX8" s="78">
        <v>2132</v>
      </c>
      <c r="HY8" s="78">
        <v>2132</v>
      </c>
      <c r="HZ8" s="78">
        <v>2132</v>
      </c>
      <c r="IA8" s="78">
        <v>2132</v>
      </c>
      <c r="IB8" s="78">
        <v>2132</v>
      </c>
      <c r="IC8" s="78">
        <v>2132</v>
      </c>
      <c r="ID8" s="78">
        <v>2132</v>
      </c>
      <c r="IE8" s="78">
        <v>2132</v>
      </c>
      <c r="IF8" s="78">
        <v>2132</v>
      </c>
      <c r="IG8" s="78">
        <v>2132</v>
      </c>
      <c r="IH8" s="78">
        <v>2132</v>
      </c>
      <c r="II8" s="78">
        <v>2132</v>
      </c>
      <c r="IJ8" s="78">
        <v>2132</v>
      </c>
      <c r="IK8" s="78">
        <v>2132</v>
      </c>
      <c r="IL8" s="78">
        <v>2132</v>
      </c>
      <c r="IM8" s="78">
        <v>2132</v>
      </c>
      <c r="IN8" s="78">
        <v>2132</v>
      </c>
      <c r="IO8" s="78">
        <v>2132</v>
      </c>
      <c r="IP8" s="78">
        <v>2132</v>
      </c>
      <c r="IQ8" s="78">
        <v>2132</v>
      </c>
      <c r="IR8" s="78">
        <v>2132</v>
      </c>
      <c r="IS8" s="78">
        <v>2132</v>
      </c>
      <c r="IT8" s="78">
        <v>2132</v>
      </c>
      <c r="IU8" s="78">
        <v>2132</v>
      </c>
      <c r="IV8" s="78">
        <v>2132</v>
      </c>
      <c r="IW8" s="78">
        <v>2132</v>
      </c>
      <c r="IX8" s="78">
        <v>2132</v>
      </c>
      <c r="IY8" s="78">
        <v>2132</v>
      </c>
      <c r="IZ8" s="78">
        <v>2132</v>
      </c>
      <c r="JA8" s="78">
        <v>2132</v>
      </c>
      <c r="JB8" s="78">
        <v>2132</v>
      </c>
      <c r="JC8" s="78">
        <v>2132</v>
      </c>
      <c r="JD8" s="78">
        <v>2132</v>
      </c>
      <c r="JE8" s="78">
        <v>2132</v>
      </c>
      <c r="JF8" s="78">
        <v>6200</v>
      </c>
      <c r="JG8" s="78">
        <v>6200</v>
      </c>
      <c r="JH8" s="78">
        <v>6200</v>
      </c>
      <c r="JI8" s="78">
        <v>6200</v>
      </c>
      <c r="JJ8" s="78">
        <v>6200</v>
      </c>
      <c r="JK8" s="78">
        <v>6200</v>
      </c>
      <c r="JL8" s="78">
        <v>6200</v>
      </c>
      <c r="JM8" s="78">
        <v>6200</v>
      </c>
      <c r="JN8" s="78">
        <v>6200</v>
      </c>
      <c r="JO8" s="78">
        <v>6200</v>
      </c>
      <c r="JP8" s="78">
        <v>6200</v>
      </c>
      <c r="JQ8" s="78">
        <v>6200</v>
      </c>
      <c r="JR8" s="78">
        <v>6200</v>
      </c>
      <c r="JS8" s="78">
        <v>6200</v>
      </c>
      <c r="JT8" s="78">
        <v>6200</v>
      </c>
      <c r="JU8" s="78">
        <v>6200</v>
      </c>
      <c r="JV8" s="78">
        <v>6200</v>
      </c>
      <c r="JW8" s="104">
        <v>6200</v>
      </c>
      <c r="JX8" s="475"/>
      <c r="JY8" s="107" t="s">
        <v>128</v>
      </c>
      <c r="JZ8" s="85" t="s">
        <v>129</v>
      </c>
      <c r="KA8" s="106"/>
      <c r="KB8" s="6" t="s">
        <v>82</v>
      </c>
      <c r="KC8" s="7">
        <v>469</v>
      </c>
      <c r="KD8" s="7">
        <v>487</v>
      </c>
      <c r="KE8" s="7">
        <v>512</v>
      </c>
      <c r="KF8" s="7">
        <v>512</v>
      </c>
      <c r="KG8" s="7">
        <v>512</v>
      </c>
      <c r="KH8" s="7">
        <v>512</v>
      </c>
      <c r="KI8" s="7">
        <v>702</v>
      </c>
      <c r="KJ8" s="7">
        <v>755</v>
      </c>
      <c r="OP8" s="90"/>
      <c r="OQ8" s="90"/>
      <c r="OR8" s="90"/>
      <c r="OS8" s="90"/>
      <c r="OT8" s="90"/>
      <c r="OU8" s="90"/>
      <c r="OV8" s="90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90"/>
      <c r="ABF8" s="114" t="s">
        <v>73</v>
      </c>
      <c r="ABG8" s="10">
        <v>7480.2960000000003</v>
      </c>
      <c r="ABH8" s="9">
        <f t="shared" si="0"/>
        <v>0.99737280000000006</v>
      </c>
      <c r="ABI8" s="126">
        <f>IF((ABN8*0.93)-ABG8&lt;0,0,(ABN8*0.93)-ABG8)</f>
        <v>0</v>
      </c>
      <c r="ABJ8" s="10"/>
      <c r="ABK8" s="10">
        <f t="shared" si="1"/>
        <v>0</v>
      </c>
      <c r="ABL8" s="114" t="s">
        <v>73</v>
      </c>
      <c r="ABM8" s="8" t="s">
        <v>47</v>
      </c>
      <c r="ABN8" s="78">
        <v>7500</v>
      </c>
      <c r="ABO8" s="7"/>
      <c r="ABP8" t="s">
        <v>130</v>
      </c>
      <c r="ABS8"/>
    </row>
    <row r="9" spans="1:769" x14ac:dyDescent="0.25">
      <c r="EX9" s="7"/>
      <c r="EY9" s="7"/>
      <c r="EZ9" s="7"/>
      <c r="FA9" s="7"/>
      <c r="FB9" s="7"/>
      <c r="FC9" s="7"/>
      <c r="FD9" s="7">
        <v>7808</v>
      </c>
      <c r="FE9" s="7">
        <v>6154</v>
      </c>
      <c r="FF9" s="7">
        <v>6154</v>
      </c>
      <c r="FG9" s="7">
        <v>7020</v>
      </c>
      <c r="FH9" s="7">
        <v>7020</v>
      </c>
      <c r="FI9" s="7">
        <v>7594</v>
      </c>
      <c r="FJ9" s="7">
        <v>8028</v>
      </c>
      <c r="FK9" s="7">
        <v>8028</v>
      </c>
      <c r="FL9" s="7">
        <v>8165</v>
      </c>
      <c r="FM9" s="7">
        <v>8165</v>
      </c>
      <c r="FN9" s="7">
        <v>8263</v>
      </c>
      <c r="FO9" s="7">
        <v>8415</v>
      </c>
      <c r="FP9" s="7">
        <v>8491</v>
      </c>
      <c r="FQ9" s="7">
        <v>8261</v>
      </c>
      <c r="FR9" s="7">
        <v>8543</v>
      </c>
      <c r="FS9" s="7">
        <v>8485</v>
      </c>
      <c r="FT9" s="7">
        <v>8485</v>
      </c>
      <c r="FU9" s="7">
        <v>8485</v>
      </c>
      <c r="FV9" s="7">
        <v>8017</v>
      </c>
      <c r="FW9" s="7">
        <v>7664</v>
      </c>
      <c r="FX9" s="7">
        <v>7664</v>
      </c>
      <c r="FY9" s="7">
        <v>7664</v>
      </c>
      <c r="FZ9" s="7">
        <v>6697</v>
      </c>
      <c r="GA9" s="7">
        <v>7843</v>
      </c>
      <c r="GB9" s="7">
        <v>7843</v>
      </c>
      <c r="GC9" s="7">
        <v>7843</v>
      </c>
      <c r="GD9" s="7">
        <v>8608</v>
      </c>
      <c r="GE9" s="7">
        <v>8853</v>
      </c>
      <c r="GF9" s="7">
        <v>8853</v>
      </c>
      <c r="GG9" s="7">
        <v>8998</v>
      </c>
      <c r="GH9" s="7">
        <v>8395</v>
      </c>
      <c r="GI9" s="7">
        <v>8157</v>
      </c>
      <c r="GJ9" s="7">
        <v>8157</v>
      </c>
      <c r="GK9" s="7">
        <v>7269</v>
      </c>
      <c r="GL9" s="7">
        <v>7222</v>
      </c>
      <c r="GM9" s="7">
        <v>7222</v>
      </c>
      <c r="GN9" s="7">
        <v>7222</v>
      </c>
      <c r="GO9" s="7">
        <v>7222</v>
      </c>
      <c r="GP9" s="7">
        <v>7222</v>
      </c>
      <c r="GQ9" s="7">
        <v>7222</v>
      </c>
      <c r="GR9" s="7">
        <v>7813</v>
      </c>
      <c r="GS9" s="7">
        <v>7813</v>
      </c>
      <c r="GT9" s="7">
        <v>8475</v>
      </c>
      <c r="GU9" s="7">
        <v>8475</v>
      </c>
      <c r="GV9" s="7">
        <v>8475</v>
      </c>
      <c r="GW9" s="7">
        <v>8475</v>
      </c>
      <c r="GX9" s="7">
        <v>8096</v>
      </c>
      <c r="GY9" s="7">
        <v>7045</v>
      </c>
      <c r="GZ9" s="7">
        <v>7045</v>
      </c>
      <c r="HA9" s="7">
        <v>6129</v>
      </c>
      <c r="HB9" s="7">
        <v>6129</v>
      </c>
      <c r="HC9" s="7">
        <v>6129</v>
      </c>
      <c r="HD9" s="7">
        <v>6661</v>
      </c>
      <c r="HE9" s="7">
        <v>7127</v>
      </c>
      <c r="HF9" s="7">
        <v>7127</v>
      </c>
      <c r="HG9" s="7">
        <v>7127</v>
      </c>
      <c r="HH9" s="7">
        <v>7755</v>
      </c>
      <c r="HI9" s="7">
        <v>7755</v>
      </c>
      <c r="HJ9" s="7">
        <v>8010</v>
      </c>
      <c r="HK9" s="7">
        <v>7418</v>
      </c>
      <c r="HL9" s="7">
        <v>7418</v>
      </c>
      <c r="HM9" s="7">
        <v>7418</v>
      </c>
      <c r="HN9" s="7">
        <v>7418</v>
      </c>
      <c r="HO9" s="7">
        <v>7418</v>
      </c>
      <c r="HP9" s="7">
        <v>7656</v>
      </c>
      <c r="HQ9" s="7">
        <v>7656</v>
      </c>
      <c r="HR9" s="7">
        <v>7347</v>
      </c>
      <c r="HS9" s="7">
        <v>7347</v>
      </c>
      <c r="HT9" s="7">
        <v>7632</v>
      </c>
      <c r="HU9" s="7">
        <v>7632</v>
      </c>
      <c r="HV9" s="7">
        <v>8042</v>
      </c>
      <c r="HW9" s="7">
        <v>8102</v>
      </c>
      <c r="HX9" s="7">
        <v>8102</v>
      </c>
      <c r="HY9" s="7">
        <v>8420</v>
      </c>
      <c r="HZ9" s="7">
        <v>7842</v>
      </c>
      <c r="IA9" s="7">
        <v>7783</v>
      </c>
      <c r="IB9" s="7">
        <v>7570</v>
      </c>
      <c r="IC9" s="7">
        <v>7570</v>
      </c>
      <c r="ID9" s="7">
        <v>7570</v>
      </c>
      <c r="IE9" s="7">
        <v>7570</v>
      </c>
      <c r="IF9" s="7">
        <v>6885</v>
      </c>
      <c r="IG9" s="7">
        <v>6885</v>
      </c>
      <c r="IH9" s="7">
        <v>6885</v>
      </c>
      <c r="II9" s="7">
        <v>7426</v>
      </c>
      <c r="IJ9" s="7">
        <v>7426</v>
      </c>
      <c r="IK9" s="7">
        <v>7334</v>
      </c>
      <c r="IL9" s="7">
        <v>8594</v>
      </c>
      <c r="IM9" s="7">
        <v>8594</v>
      </c>
      <c r="IN9" s="7">
        <v>8146</v>
      </c>
      <c r="IO9" s="7">
        <v>8146</v>
      </c>
      <c r="IP9" s="7">
        <v>8038</v>
      </c>
      <c r="IQ9" s="7">
        <v>8038</v>
      </c>
      <c r="IR9" s="7">
        <v>8038</v>
      </c>
      <c r="IS9" s="7">
        <v>8038</v>
      </c>
      <c r="IT9" s="7">
        <v>8038</v>
      </c>
      <c r="IU9" s="7">
        <v>8038</v>
      </c>
      <c r="IV9" s="7">
        <v>8038</v>
      </c>
      <c r="IW9" s="7">
        <v>8038</v>
      </c>
      <c r="IX9" s="7">
        <v>6647</v>
      </c>
      <c r="IY9" s="7">
        <v>6647</v>
      </c>
      <c r="IZ9" s="7">
        <v>5398</v>
      </c>
      <c r="JA9" s="7">
        <v>4693</v>
      </c>
      <c r="JB9" s="7">
        <v>4693</v>
      </c>
      <c r="JC9" s="7">
        <v>4693</v>
      </c>
      <c r="JD9" s="7">
        <v>4326</v>
      </c>
      <c r="JE9" s="7">
        <v>4326</v>
      </c>
      <c r="JF9" s="7">
        <v>4326</v>
      </c>
      <c r="JG9" s="7">
        <v>4290</v>
      </c>
      <c r="JH9" s="7">
        <v>4240</v>
      </c>
      <c r="JI9" s="7">
        <v>5002</v>
      </c>
      <c r="JJ9" s="7">
        <v>5002</v>
      </c>
      <c r="JK9" s="7">
        <v>5247</v>
      </c>
      <c r="JL9" s="7">
        <v>5247</v>
      </c>
      <c r="JM9" s="7">
        <v>5247</v>
      </c>
      <c r="JN9" s="7">
        <v>5247</v>
      </c>
      <c r="JO9" s="7">
        <v>4574</v>
      </c>
      <c r="JP9" s="7">
        <v>4573</v>
      </c>
      <c r="JQ9" s="7">
        <v>4932</v>
      </c>
      <c r="JR9" s="7">
        <v>4979</v>
      </c>
      <c r="JS9" s="7">
        <v>5116</v>
      </c>
      <c r="JT9" s="7">
        <v>5116</v>
      </c>
      <c r="JU9" s="7">
        <v>5109</v>
      </c>
      <c r="JV9" s="7">
        <v>5652</v>
      </c>
      <c r="JW9" s="103">
        <v>5663</v>
      </c>
      <c r="JX9" s="475"/>
      <c r="JY9" s="108" t="s">
        <v>131</v>
      </c>
      <c r="JZ9" s="7" t="s">
        <v>132</v>
      </c>
      <c r="KD9" s="90"/>
      <c r="KE9" s="90"/>
      <c r="KF9" s="90"/>
      <c r="KG9" s="90"/>
      <c r="KH9" s="90"/>
      <c r="KI9" s="90"/>
      <c r="KJ9" s="90"/>
      <c r="KK9" s="90"/>
      <c r="KL9" s="90"/>
      <c r="KM9" s="90"/>
      <c r="KN9" s="90"/>
      <c r="KO9" s="90"/>
      <c r="KP9" s="90"/>
      <c r="KQ9" s="90"/>
      <c r="KR9" s="90"/>
      <c r="KS9" s="90"/>
      <c r="KT9" s="90"/>
      <c r="KU9" s="90"/>
      <c r="KV9" s="90"/>
      <c r="KW9" s="90"/>
      <c r="KX9" s="90"/>
      <c r="KY9" s="90"/>
      <c r="KZ9" s="90"/>
      <c r="LA9" s="90"/>
      <c r="LB9" s="90"/>
      <c r="LC9" s="90"/>
      <c r="LD9" s="90"/>
      <c r="LE9" s="90"/>
      <c r="LF9" s="90"/>
      <c r="LG9" s="90"/>
      <c r="LH9" s="90"/>
      <c r="LI9" s="90"/>
      <c r="LJ9" s="90"/>
      <c r="LK9" s="90"/>
      <c r="LL9" s="90"/>
      <c r="LM9" s="90"/>
      <c r="LN9" s="90"/>
      <c r="LO9" s="90"/>
      <c r="LP9" s="90"/>
      <c r="LQ9" s="90"/>
      <c r="LR9" s="90"/>
      <c r="LS9" s="90"/>
      <c r="LT9" s="90"/>
      <c r="LU9" s="90"/>
      <c r="LV9" s="90"/>
      <c r="LW9" s="90"/>
      <c r="LX9" s="90"/>
      <c r="LY9" s="90"/>
      <c r="LZ9" s="90"/>
      <c r="MA9" s="90"/>
      <c r="MB9" s="90"/>
      <c r="MC9" s="90"/>
      <c r="MD9" s="90"/>
      <c r="ME9" s="90"/>
      <c r="MF9" s="90"/>
      <c r="MG9" s="90"/>
      <c r="MH9" s="90"/>
      <c r="MI9" s="90"/>
      <c r="MJ9" s="90"/>
      <c r="MK9" s="90"/>
      <c r="ML9" s="90"/>
      <c r="MM9" s="90"/>
      <c r="MN9" s="90"/>
      <c r="MO9" s="90"/>
      <c r="MP9" s="90"/>
      <c r="MQ9" s="90"/>
      <c r="MR9" s="90"/>
      <c r="MS9" s="90"/>
      <c r="MT9" s="90"/>
      <c r="MU9" s="90"/>
      <c r="MV9" s="90"/>
      <c r="MW9" s="90"/>
      <c r="MX9" s="90"/>
      <c r="MY9" s="90"/>
      <c r="MZ9" s="90"/>
      <c r="NA9" s="90"/>
      <c r="NB9" s="90"/>
      <c r="NC9" s="90"/>
      <c r="ND9" s="90"/>
      <c r="NE9" s="90"/>
      <c r="NF9" s="90"/>
      <c r="NG9" s="90"/>
      <c r="NH9" s="90"/>
      <c r="NI9" s="90"/>
      <c r="NJ9" s="90"/>
      <c r="NK9" s="90"/>
      <c r="NL9" s="90"/>
      <c r="NM9" s="90"/>
      <c r="NN9" s="90"/>
      <c r="NO9" s="90"/>
      <c r="NP9" s="90"/>
      <c r="NQ9" s="90"/>
      <c r="NR9" s="90"/>
      <c r="NS9" s="90"/>
      <c r="NT9" s="90"/>
      <c r="NU9" s="90"/>
      <c r="NV9" s="90"/>
      <c r="NW9" s="90"/>
      <c r="NX9" s="90"/>
      <c r="NY9" s="90"/>
      <c r="NZ9" s="90"/>
      <c r="OA9" s="90"/>
      <c r="OB9" s="90"/>
      <c r="OC9" s="90"/>
      <c r="OD9" s="90"/>
      <c r="OE9" s="90"/>
      <c r="OF9" s="90"/>
      <c r="OG9" s="90"/>
      <c r="OH9" s="90"/>
      <c r="OI9" s="90"/>
      <c r="OJ9" s="90"/>
      <c r="OK9" s="90"/>
      <c r="OL9" s="90"/>
      <c r="OM9" s="90"/>
      <c r="ON9" s="90"/>
      <c r="OO9" s="90"/>
      <c r="ABF9" s="85" t="s">
        <v>123</v>
      </c>
      <c r="ABG9" s="10">
        <v>7716</v>
      </c>
      <c r="ABH9" s="9">
        <f t="shared" si="0"/>
        <v>0.76162274207876812</v>
      </c>
      <c r="ABI9" s="7"/>
      <c r="ABJ9" s="7"/>
      <c r="ABK9" s="10">
        <f t="shared" si="1"/>
        <v>1908.4499999999989</v>
      </c>
      <c r="ABL9" s="85" t="s">
        <v>123</v>
      </c>
      <c r="ABM9" s="7" t="s">
        <v>132</v>
      </c>
      <c r="ABN9" s="177">
        <v>10131</v>
      </c>
      <c r="ABO9" s="7"/>
      <c r="ABP9" t="s">
        <v>133</v>
      </c>
      <c r="ABQ9" t="s">
        <v>134</v>
      </c>
    </row>
    <row r="10" spans="1:769" x14ac:dyDescent="0.25"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103"/>
      <c r="JX10" s="475"/>
      <c r="JY10" s="108"/>
      <c r="JZ10" s="7"/>
      <c r="KD10" s="90"/>
      <c r="KE10" s="90"/>
      <c r="KF10" s="90"/>
      <c r="KG10" s="90"/>
      <c r="KH10" s="90"/>
      <c r="KI10" s="90"/>
      <c r="KJ10" s="90"/>
      <c r="KK10" s="90"/>
      <c r="KL10" s="90"/>
      <c r="KM10" s="90"/>
      <c r="KN10" s="90"/>
      <c r="KO10" s="90"/>
      <c r="KP10" s="90"/>
      <c r="KQ10" s="90"/>
      <c r="KR10" s="90"/>
      <c r="KS10" s="90"/>
      <c r="KT10" s="90"/>
      <c r="KU10" s="90"/>
      <c r="KV10" s="90"/>
      <c r="KW10" s="90"/>
      <c r="KX10" s="90"/>
      <c r="KY10" s="90"/>
      <c r="KZ10" s="90"/>
      <c r="LA10" s="90"/>
      <c r="LB10" s="90"/>
      <c r="LC10" s="90"/>
      <c r="LD10" s="90"/>
      <c r="LE10" s="90"/>
      <c r="LF10" s="90"/>
      <c r="LG10" s="90"/>
      <c r="LH10" s="90"/>
      <c r="LI10" s="90"/>
      <c r="LJ10" s="90"/>
      <c r="LK10" s="90"/>
      <c r="LL10" s="90"/>
      <c r="LM10" s="90"/>
      <c r="LN10" s="90"/>
      <c r="LO10" s="90"/>
      <c r="LP10" s="90"/>
      <c r="LQ10" s="90"/>
      <c r="LR10" s="90"/>
      <c r="LS10" s="90"/>
      <c r="LT10" s="90"/>
      <c r="LU10" s="90"/>
      <c r="LV10" s="90"/>
      <c r="LW10" s="90"/>
      <c r="LX10" s="90"/>
      <c r="LY10" s="90"/>
      <c r="LZ10" s="90"/>
      <c r="MA10" s="90"/>
      <c r="MB10" s="90"/>
      <c r="MC10" s="90"/>
      <c r="MD10" s="90"/>
      <c r="ME10" s="90"/>
      <c r="MF10" s="90"/>
      <c r="MG10" s="90"/>
      <c r="MH10" s="90"/>
      <c r="MI10" s="90"/>
      <c r="MJ10" s="90"/>
      <c r="MK10" s="90"/>
      <c r="ML10" s="90"/>
      <c r="MM10" s="90"/>
      <c r="MN10" s="90"/>
      <c r="MO10" s="90"/>
      <c r="MP10" s="90"/>
      <c r="MQ10" s="90"/>
      <c r="MR10" s="90"/>
      <c r="MS10" s="90"/>
      <c r="MT10" s="90"/>
      <c r="MU10" s="90"/>
      <c r="MV10" s="90"/>
      <c r="MW10" s="90"/>
      <c r="MX10" s="90"/>
      <c r="MY10" s="90"/>
      <c r="MZ10" s="90"/>
      <c r="NA10" s="90"/>
      <c r="NB10" s="90"/>
      <c r="NC10" s="90"/>
      <c r="ND10" s="90"/>
      <c r="NE10" s="90"/>
      <c r="NF10" s="90"/>
      <c r="NG10" s="90"/>
      <c r="NH10" s="90"/>
      <c r="NI10" s="90"/>
      <c r="NJ10" s="90"/>
      <c r="NK10" s="90"/>
      <c r="NL10" s="90"/>
      <c r="NM10" s="90"/>
      <c r="NN10" s="90"/>
      <c r="NO10" s="90"/>
      <c r="NP10" s="90"/>
      <c r="NQ10" s="90"/>
      <c r="NR10" s="90"/>
      <c r="NS10" s="90"/>
      <c r="NT10" s="90"/>
      <c r="NU10" s="90"/>
      <c r="NV10" s="90"/>
      <c r="NW10" s="90"/>
      <c r="NX10" s="90"/>
      <c r="NY10" s="90"/>
      <c r="NZ10" s="90"/>
      <c r="OA10" s="90"/>
      <c r="OB10" s="90"/>
      <c r="OC10" s="90"/>
      <c r="OD10" s="90"/>
      <c r="OE10" s="90"/>
      <c r="OF10" s="90"/>
      <c r="OG10" s="90"/>
      <c r="OH10" s="90"/>
      <c r="OI10" s="90"/>
      <c r="OJ10" s="90"/>
      <c r="OK10" s="90"/>
      <c r="OL10" s="90"/>
      <c r="OM10" s="90"/>
      <c r="ON10" s="90"/>
      <c r="OO10" s="90"/>
      <c r="ABF10" s="85" t="s">
        <v>82</v>
      </c>
      <c r="ABG10" s="10">
        <v>1366</v>
      </c>
      <c r="ABH10" s="9">
        <f t="shared" si="0"/>
        <v>0.91066666666666662</v>
      </c>
      <c r="ABI10" s="7"/>
      <c r="ABJ10" s="7"/>
      <c r="ABK10" s="7">
        <f t="shared" si="1"/>
        <v>59</v>
      </c>
      <c r="ABL10" s="85" t="s">
        <v>82</v>
      </c>
      <c r="ABM10" s="7" t="s">
        <v>132</v>
      </c>
      <c r="ABN10" s="7">
        <v>1500</v>
      </c>
      <c r="ABO10" s="7"/>
      <c r="ABP10" t="s">
        <v>135</v>
      </c>
    </row>
    <row r="11" spans="1:769" x14ac:dyDescent="0.25"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103"/>
      <c r="JX11" s="475"/>
      <c r="JY11" s="108"/>
      <c r="JZ11" s="7"/>
      <c r="KD11" s="90"/>
      <c r="KE11" s="90"/>
      <c r="KF11" s="90"/>
      <c r="KG11" s="90"/>
      <c r="KH11" s="90"/>
      <c r="KI11" s="90"/>
      <c r="KJ11" s="90"/>
      <c r="KK11" s="90"/>
      <c r="KL11" s="90"/>
      <c r="KM11" s="90"/>
      <c r="KN11" s="90"/>
      <c r="KO11" s="90"/>
      <c r="KP11" s="90"/>
      <c r="KQ11" s="90"/>
      <c r="KR11" s="90"/>
      <c r="KS11" s="90"/>
      <c r="KT11" s="90"/>
      <c r="KU11" s="90"/>
      <c r="KV11" s="90"/>
      <c r="KW11" s="90"/>
      <c r="KX11" s="90"/>
      <c r="KY11" s="90"/>
      <c r="KZ11" s="90"/>
      <c r="LA11" s="90"/>
      <c r="LB11" s="90"/>
      <c r="LC11" s="90"/>
      <c r="LD11" s="90"/>
      <c r="LE11" s="90"/>
      <c r="LF11" s="90"/>
      <c r="LG11" s="90"/>
      <c r="LH11" s="90"/>
      <c r="LI11" s="90"/>
      <c r="LJ11" s="90"/>
      <c r="LK11" s="90"/>
      <c r="LL11" s="90"/>
      <c r="LM11" s="90"/>
      <c r="LN11" s="90"/>
      <c r="LO11" s="90"/>
      <c r="LP11" s="90"/>
      <c r="LQ11" s="90"/>
      <c r="LR11" s="90"/>
      <c r="LS11" s="90"/>
      <c r="LT11" s="90"/>
      <c r="LU11" s="90"/>
      <c r="LV11" s="90"/>
      <c r="LW11" s="90"/>
      <c r="LX11" s="90"/>
      <c r="LY11" s="90"/>
      <c r="LZ11" s="90"/>
      <c r="MA11" s="90"/>
      <c r="MB11" s="90"/>
      <c r="MC11" s="90"/>
      <c r="MD11" s="90"/>
      <c r="ME11" s="90"/>
      <c r="MF11" s="90"/>
      <c r="MG11" s="90"/>
      <c r="MH11" s="90"/>
      <c r="MI11" s="90"/>
      <c r="MJ11" s="90"/>
      <c r="MK11" s="90"/>
      <c r="ML11" s="90"/>
      <c r="MM11" s="90"/>
      <c r="MN11" s="90"/>
      <c r="MO11" s="90"/>
      <c r="MP11" s="90"/>
      <c r="MQ11" s="90"/>
      <c r="MR11" s="90"/>
      <c r="MS11" s="90"/>
      <c r="MT11" s="90"/>
      <c r="MU11" s="90"/>
      <c r="MV11" s="90"/>
      <c r="MW11" s="90"/>
      <c r="MX11" s="90"/>
      <c r="MY11" s="90"/>
      <c r="MZ11" s="90"/>
      <c r="NA11" s="90"/>
      <c r="NB11" s="90"/>
      <c r="NC11" s="90"/>
      <c r="ND11" s="90"/>
      <c r="NE11" s="90"/>
      <c r="NF11" s="90"/>
      <c r="NG11" s="90"/>
      <c r="NH11" s="90"/>
      <c r="NI11" s="90"/>
      <c r="NJ11" s="90"/>
      <c r="NK11" s="90"/>
      <c r="NL11" s="90"/>
      <c r="NM11" s="90"/>
      <c r="NN11" s="90"/>
      <c r="NO11" s="90"/>
      <c r="NP11" s="90"/>
      <c r="NQ11" s="90"/>
      <c r="NR11" s="90"/>
      <c r="NS11" s="90"/>
      <c r="NT11" s="90"/>
      <c r="NU11" s="90"/>
      <c r="NV11" s="90"/>
      <c r="NW11" s="90"/>
      <c r="NX11" s="90"/>
      <c r="NY11" s="90"/>
      <c r="NZ11" s="90"/>
      <c r="OA11" s="90"/>
      <c r="OB11" s="90"/>
      <c r="OC11" s="90"/>
      <c r="OD11" s="90"/>
      <c r="OE11" s="90"/>
      <c r="OF11" s="90"/>
      <c r="OG11" s="90"/>
      <c r="OH11" s="90"/>
      <c r="OI11" s="90"/>
      <c r="OJ11" s="90"/>
      <c r="OK11" s="90"/>
      <c r="OL11" s="90"/>
      <c r="OM11" s="90"/>
      <c r="ON11" s="90"/>
      <c r="OO11" s="90"/>
    </row>
    <row r="12" spans="1:769" x14ac:dyDescent="0.25"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103"/>
      <c r="JX12" s="475"/>
      <c r="JY12" s="108"/>
      <c r="JZ12" s="7"/>
      <c r="KD12" s="90"/>
      <c r="KE12" s="90"/>
      <c r="KF12" s="90"/>
      <c r="KG12" s="90"/>
      <c r="KH12" s="90"/>
      <c r="KI12" s="90"/>
      <c r="KJ12" s="90"/>
      <c r="KK12" s="90"/>
      <c r="KL12" s="90"/>
      <c r="KM12" s="90"/>
      <c r="KN12" s="90"/>
      <c r="KO12" s="90"/>
      <c r="KP12" s="90"/>
      <c r="KQ12" s="90"/>
      <c r="KR12" s="90"/>
      <c r="KS12" s="90"/>
      <c r="KT12" s="90"/>
      <c r="KU12" s="90"/>
      <c r="KV12" s="90"/>
      <c r="KW12" s="90"/>
      <c r="KX12" s="90"/>
      <c r="KY12" s="90"/>
      <c r="KZ12" s="90"/>
      <c r="LA12" s="90"/>
      <c r="LB12" s="90"/>
      <c r="LC12" s="90"/>
      <c r="LD12" s="90"/>
      <c r="LE12" s="90"/>
      <c r="LF12" s="90"/>
      <c r="LG12" s="90"/>
      <c r="LH12" s="90"/>
      <c r="LI12" s="90"/>
      <c r="LJ12" s="90"/>
      <c r="LK12" s="90"/>
      <c r="LL12" s="90"/>
      <c r="LM12" s="90"/>
      <c r="LN12" s="90"/>
      <c r="LO12" s="90"/>
      <c r="LP12" s="90"/>
      <c r="LQ12" s="90"/>
      <c r="LR12" s="90"/>
      <c r="LS12" s="90"/>
      <c r="LT12" s="90"/>
      <c r="LU12" s="90"/>
      <c r="LV12" s="90"/>
      <c r="LW12" s="90"/>
      <c r="LX12" s="90"/>
      <c r="LY12" s="90"/>
      <c r="LZ12" s="90"/>
      <c r="MA12" s="90"/>
      <c r="MB12" s="90"/>
      <c r="MC12" s="90"/>
      <c r="MD12" s="90"/>
      <c r="ME12" s="90"/>
      <c r="MF12" s="90"/>
      <c r="MG12" s="90"/>
      <c r="MH12" s="90"/>
      <c r="MI12" s="90"/>
      <c r="MJ12" s="90"/>
      <c r="MK12" s="90"/>
      <c r="ML12" s="90"/>
      <c r="MM12" s="90"/>
      <c r="MN12" s="90"/>
      <c r="MO12" s="90"/>
      <c r="MP12" s="90"/>
      <c r="MQ12" s="90"/>
      <c r="MR12" s="90"/>
      <c r="MS12" s="90"/>
      <c r="MT12" s="90"/>
      <c r="MU12" s="90"/>
      <c r="MV12" s="90"/>
      <c r="MW12" s="90"/>
      <c r="MX12" s="90"/>
      <c r="MY12" s="90"/>
      <c r="MZ12" s="90"/>
      <c r="NA12" s="90"/>
      <c r="NB12" s="90"/>
      <c r="NC12" s="90"/>
      <c r="ND12" s="90"/>
      <c r="NE12" s="90"/>
      <c r="NF12" s="90"/>
      <c r="NG12" s="90"/>
      <c r="NH12" s="90"/>
      <c r="NI12" s="90"/>
      <c r="NJ12" s="90"/>
      <c r="NK12" s="90"/>
      <c r="NL12" s="90"/>
      <c r="NM12" s="90"/>
      <c r="NN12" s="90"/>
      <c r="NO12" s="90"/>
      <c r="NP12" s="90"/>
      <c r="NQ12" s="90"/>
      <c r="NR12" s="90"/>
      <c r="NS12" s="90"/>
      <c r="NT12" s="90"/>
      <c r="NU12" s="90"/>
      <c r="NV12" s="90"/>
      <c r="NW12" s="90"/>
      <c r="NX12" s="90"/>
      <c r="NY12" s="90"/>
      <c r="NZ12" s="90"/>
      <c r="OA12" s="90"/>
      <c r="OB12" s="90"/>
      <c r="OC12" s="90"/>
      <c r="OD12" s="90"/>
      <c r="OE12" s="90"/>
      <c r="OF12" s="90"/>
      <c r="OG12" s="90"/>
      <c r="OH12" s="90"/>
      <c r="OI12" s="90"/>
      <c r="OJ12" s="90"/>
      <c r="OK12" s="90"/>
      <c r="OL12" s="90"/>
      <c r="OM12" s="90"/>
      <c r="ON12" s="90"/>
      <c r="OO12" s="90"/>
    </row>
    <row r="13" spans="1:769" x14ac:dyDescent="0.25"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103"/>
      <c r="JX13" s="475"/>
      <c r="JY13" s="108"/>
      <c r="JZ13" s="7"/>
      <c r="KD13" s="90"/>
      <c r="KE13" s="90"/>
      <c r="KF13" s="90"/>
      <c r="KG13" s="90"/>
      <c r="KH13" s="90"/>
      <c r="KI13" s="90"/>
      <c r="KJ13" s="90"/>
      <c r="KK13" s="90"/>
      <c r="KL13" s="90"/>
      <c r="KM13" s="90"/>
      <c r="KN13" s="90"/>
      <c r="KO13" s="90"/>
      <c r="KP13" s="90"/>
      <c r="KQ13" s="90"/>
      <c r="KR13" s="90"/>
      <c r="KS13" s="90"/>
      <c r="KT13" s="90"/>
      <c r="KU13" s="90"/>
      <c r="KV13" s="90"/>
      <c r="KW13" s="90"/>
      <c r="KX13" s="90"/>
      <c r="KY13" s="90"/>
      <c r="KZ13" s="90"/>
      <c r="LA13" s="90"/>
      <c r="LB13" s="90"/>
      <c r="LC13" s="90"/>
      <c r="LD13" s="90"/>
      <c r="LE13" s="90"/>
      <c r="LF13" s="90"/>
      <c r="LG13" s="90"/>
      <c r="LH13" s="90"/>
      <c r="LI13" s="90"/>
      <c r="LJ13" s="90"/>
      <c r="LK13" s="90"/>
      <c r="LL13" s="90"/>
      <c r="LM13" s="90"/>
      <c r="LN13" s="90"/>
      <c r="LO13" s="90"/>
      <c r="LP13" s="90"/>
      <c r="LQ13" s="90"/>
      <c r="LR13" s="90"/>
      <c r="LS13" s="90"/>
      <c r="LT13" s="90"/>
      <c r="LU13" s="90"/>
      <c r="LV13" s="90"/>
      <c r="LW13" s="90"/>
      <c r="LX13" s="90"/>
      <c r="LY13" s="90"/>
      <c r="LZ13" s="90"/>
      <c r="MA13" s="90"/>
      <c r="MB13" s="90"/>
      <c r="MC13" s="90"/>
      <c r="MD13" s="90"/>
      <c r="ME13" s="90"/>
      <c r="MF13" s="90"/>
      <c r="MG13" s="90"/>
      <c r="MH13" s="90"/>
      <c r="MI13" s="90"/>
      <c r="MJ13" s="90"/>
      <c r="MK13" s="90"/>
      <c r="ML13" s="90"/>
      <c r="MM13" s="90"/>
      <c r="MN13" s="90"/>
      <c r="MO13" s="90"/>
      <c r="MP13" s="90"/>
      <c r="MQ13" s="90"/>
      <c r="MR13" s="90"/>
      <c r="MS13" s="90"/>
      <c r="MT13" s="90"/>
      <c r="MU13" s="90"/>
      <c r="MV13" s="90"/>
      <c r="MW13" s="90"/>
      <c r="MX13" s="90"/>
      <c r="MY13" s="90"/>
      <c r="MZ13" s="90"/>
      <c r="NA13" s="90"/>
      <c r="NB13" s="90"/>
      <c r="NC13" s="90"/>
      <c r="ND13" s="90"/>
      <c r="NE13" s="90"/>
      <c r="NF13" s="90"/>
      <c r="NG13" s="90"/>
      <c r="NH13" s="90"/>
      <c r="NI13" s="90"/>
      <c r="NJ13" s="90"/>
      <c r="NK13" s="90"/>
      <c r="NL13" s="90"/>
      <c r="NM13" s="90"/>
      <c r="NN13" s="90"/>
      <c r="NO13" s="90"/>
      <c r="NP13" s="90"/>
      <c r="NQ13" s="90"/>
      <c r="NR13" s="90"/>
      <c r="NS13" s="90"/>
      <c r="NT13" s="90"/>
      <c r="NU13" s="90"/>
      <c r="NV13" s="90"/>
      <c r="NW13" s="90"/>
      <c r="NX13" s="90"/>
      <c r="NY13" s="90"/>
      <c r="NZ13" s="90"/>
      <c r="OA13" s="90"/>
      <c r="OB13" s="90"/>
      <c r="OC13" s="90"/>
      <c r="OD13" s="90"/>
      <c r="OE13" s="90"/>
      <c r="OF13" s="90"/>
      <c r="OG13" s="90"/>
      <c r="OH13" s="90"/>
      <c r="OI13" s="90"/>
      <c r="OJ13" s="90"/>
      <c r="OK13" s="90"/>
      <c r="OL13" s="90"/>
      <c r="OM13" s="90"/>
      <c r="ON13" s="90"/>
      <c r="OO13" s="90"/>
    </row>
    <row r="14" spans="1:769" x14ac:dyDescent="0.25">
      <c r="EX14" s="7"/>
      <c r="EY14" s="7"/>
      <c r="EZ14" s="7"/>
      <c r="FA14" s="7"/>
      <c r="FB14" s="7"/>
      <c r="FC14" s="7"/>
      <c r="FD14" s="7">
        <v>1018</v>
      </c>
      <c r="FE14" s="7">
        <v>1094</v>
      </c>
      <c r="FF14" s="7">
        <v>1094</v>
      </c>
      <c r="FG14" s="7">
        <v>1080</v>
      </c>
      <c r="FH14" s="7">
        <v>1080</v>
      </c>
      <c r="FI14" s="7">
        <v>1074</v>
      </c>
      <c r="FJ14" s="7">
        <v>1148</v>
      </c>
      <c r="FK14" s="7">
        <v>1148</v>
      </c>
      <c r="FL14" s="7">
        <v>1108</v>
      </c>
      <c r="FM14" s="7">
        <v>1108</v>
      </c>
      <c r="FN14" s="7">
        <v>1105</v>
      </c>
      <c r="FO14" s="7">
        <v>1099</v>
      </c>
      <c r="FP14" s="7">
        <v>1052</v>
      </c>
      <c r="FQ14" s="7">
        <v>1045</v>
      </c>
      <c r="FR14" s="7">
        <v>1332</v>
      </c>
      <c r="FS14" s="7">
        <v>1280</v>
      </c>
      <c r="FT14" s="7">
        <v>1280</v>
      </c>
      <c r="FU14" s="7">
        <v>1280</v>
      </c>
      <c r="FV14" s="7">
        <v>1204</v>
      </c>
      <c r="FW14" s="7">
        <v>1154</v>
      </c>
      <c r="FX14" s="7">
        <v>1154</v>
      </c>
      <c r="FY14" s="7">
        <v>1154</v>
      </c>
      <c r="FZ14" s="7">
        <v>1087</v>
      </c>
      <c r="GA14" s="7">
        <v>1273</v>
      </c>
      <c r="GB14" s="7">
        <v>1273</v>
      </c>
      <c r="GC14" s="7">
        <v>1273</v>
      </c>
      <c r="GD14" s="7">
        <v>1441</v>
      </c>
      <c r="GE14" s="7">
        <v>1469</v>
      </c>
      <c r="GF14" s="7">
        <v>1469</v>
      </c>
      <c r="GG14" s="7">
        <v>1451</v>
      </c>
      <c r="GH14" s="7">
        <v>1514</v>
      </c>
      <c r="GI14" s="7">
        <v>1644</v>
      </c>
      <c r="GJ14" s="7">
        <v>1644</v>
      </c>
      <c r="GK14" s="7">
        <v>1527</v>
      </c>
      <c r="GL14" s="7">
        <v>1426</v>
      </c>
      <c r="GM14" s="7">
        <v>1426</v>
      </c>
      <c r="GN14" s="7">
        <v>1426</v>
      </c>
      <c r="GO14" s="7">
        <v>1426</v>
      </c>
      <c r="GP14" s="7">
        <v>1426</v>
      </c>
      <c r="GQ14" s="7">
        <v>1426</v>
      </c>
      <c r="GR14" s="7">
        <v>1553</v>
      </c>
      <c r="GS14" s="7">
        <v>1553</v>
      </c>
      <c r="GT14" s="7">
        <v>1483</v>
      </c>
      <c r="GU14" s="7">
        <v>1483</v>
      </c>
      <c r="GV14" s="7">
        <v>1483</v>
      </c>
      <c r="GW14" s="7">
        <v>1483</v>
      </c>
      <c r="GX14" s="7">
        <v>1287</v>
      </c>
      <c r="GY14" s="7">
        <v>1306</v>
      </c>
      <c r="GZ14" s="7">
        <v>1306</v>
      </c>
      <c r="HA14" s="7">
        <v>1352</v>
      </c>
      <c r="HB14" s="7">
        <v>1352</v>
      </c>
      <c r="HC14" s="7">
        <v>1352</v>
      </c>
      <c r="HD14" s="7">
        <v>1401</v>
      </c>
      <c r="HE14" s="7">
        <v>1317</v>
      </c>
      <c r="HF14" s="7">
        <v>1317</v>
      </c>
      <c r="HG14" s="7">
        <v>1317</v>
      </c>
      <c r="HH14" s="7">
        <v>1157</v>
      </c>
      <c r="HI14" s="7">
        <v>1157</v>
      </c>
      <c r="HJ14" s="7">
        <v>1029</v>
      </c>
      <c r="HK14" s="7">
        <v>1083</v>
      </c>
      <c r="HL14" s="7">
        <v>1083</v>
      </c>
      <c r="HM14" s="7">
        <v>1083</v>
      </c>
      <c r="HN14" s="7">
        <v>1083</v>
      </c>
      <c r="HO14" s="7">
        <v>1083</v>
      </c>
      <c r="HP14" s="7">
        <v>845</v>
      </c>
      <c r="HQ14" s="7">
        <v>845</v>
      </c>
      <c r="HR14" s="7">
        <v>778</v>
      </c>
      <c r="HS14" s="7">
        <v>778</v>
      </c>
      <c r="HT14" s="7">
        <v>942</v>
      </c>
      <c r="HU14" s="7">
        <v>942</v>
      </c>
      <c r="HV14" s="7">
        <v>909</v>
      </c>
      <c r="HW14" s="7">
        <v>967</v>
      </c>
      <c r="HX14" s="7">
        <v>967</v>
      </c>
      <c r="HY14" s="7">
        <v>967</v>
      </c>
      <c r="HZ14" s="7">
        <v>925</v>
      </c>
      <c r="IA14" s="7">
        <v>947</v>
      </c>
      <c r="IB14" s="7">
        <v>887</v>
      </c>
      <c r="IC14" s="7">
        <v>887</v>
      </c>
      <c r="ID14" s="7">
        <v>887</v>
      </c>
      <c r="IE14" s="7">
        <v>887</v>
      </c>
      <c r="IF14" s="7">
        <v>863</v>
      </c>
      <c r="IG14" s="7">
        <v>863</v>
      </c>
      <c r="IH14" s="7">
        <v>863</v>
      </c>
      <c r="II14" s="7">
        <v>976</v>
      </c>
      <c r="IJ14" s="7">
        <v>976</v>
      </c>
      <c r="IK14" s="7">
        <v>1024</v>
      </c>
      <c r="IL14" s="7">
        <v>1335</v>
      </c>
      <c r="IM14" s="7">
        <v>1335</v>
      </c>
      <c r="IN14" s="7">
        <v>929</v>
      </c>
      <c r="IO14" s="7">
        <v>929</v>
      </c>
      <c r="IP14" s="7">
        <v>753</v>
      </c>
      <c r="IQ14" s="7">
        <v>753</v>
      </c>
      <c r="IR14" s="7">
        <v>753</v>
      </c>
      <c r="IS14" s="7">
        <v>753</v>
      </c>
      <c r="IT14" s="7">
        <v>753</v>
      </c>
      <c r="IU14" s="7">
        <v>753</v>
      </c>
      <c r="IV14" s="7">
        <v>753</v>
      </c>
      <c r="IW14" s="7">
        <v>753</v>
      </c>
      <c r="IX14" s="7">
        <v>836</v>
      </c>
      <c r="IY14" s="7">
        <v>836</v>
      </c>
      <c r="IZ14" s="7">
        <v>562</v>
      </c>
      <c r="JA14" s="7">
        <v>679</v>
      </c>
      <c r="JB14" s="7">
        <v>679</v>
      </c>
      <c r="JC14" s="7">
        <v>679</v>
      </c>
      <c r="JD14" s="7">
        <v>704</v>
      </c>
      <c r="JE14" s="7">
        <v>704</v>
      </c>
      <c r="JF14" s="7">
        <v>704</v>
      </c>
      <c r="JG14" s="7">
        <v>513</v>
      </c>
      <c r="JH14" s="7">
        <v>533</v>
      </c>
      <c r="JI14" s="7">
        <v>532</v>
      </c>
      <c r="JJ14" s="7">
        <v>532</v>
      </c>
      <c r="JK14" s="7">
        <v>470</v>
      </c>
      <c r="JL14" s="7">
        <v>470</v>
      </c>
      <c r="JM14" s="7">
        <v>470</v>
      </c>
      <c r="JN14" s="7">
        <v>470</v>
      </c>
      <c r="JO14" s="7">
        <v>510</v>
      </c>
      <c r="JP14" s="7">
        <v>482</v>
      </c>
      <c r="JQ14" s="7">
        <v>479</v>
      </c>
      <c r="JR14" s="7">
        <v>481</v>
      </c>
      <c r="JS14" s="7">
        <v>445</v>
      </c>
      <c r="JT14" s="7">
        <v>445</v>
      </c>
      <c r="JU14" s="7">
        <v>515</v>
      </c>
      <c r="JV14" s="7">
        <v>570</v>
      </c>
      <c r="JW14" s="103">
        <v>524</v>
      </c>
      <c r="JX14" s="476"/>
      <c r="JY14" s="24" t="s">
        <v>82</v>
      </c>
      <c r="JZ14" s="7" t="s">
        <v>132</v>
      </c>
      <c r="KD14" s="90"/>
      <c r="KE14" s="90"/>
      <c r="KF14" s="90"/>
      <c r="KG14" s="90"/>
      <c r="KH14" s="90"/>
      <c r="KI14" s="90"/>
      <c r="KJ14" s="90"/>
      <c r="KK14" s="90"/>
      <c r="KL14" s="90"/>
      <c r="KM14" s="90"/>
      <c r="KN14" s="90"/>
      <c r="KO14" s="90"/>
      <c r="KP14" s="90"/>
      <c r="KQ14" s="90"/>
      <c r="KR14" s="90"/>
      <c r="KS14" s="90"/>
      <c r="KT14" s="90"/>
      <c r="KU14" s="90"/>
      <c r="KV14" s="90"/>
      <c r="KW14" s="90"/>
      <c r="KX14" s="90"/>
      <c r="KY14" s="90"/>
      <c r="KZ14" s="90"/>
      <c r="LA14" s="90"/>
      <c r="LB14" s="90"/>
      <c r="LC14" s="90"/>
      <c r="LD14" s="90"/>
      <c r="LE14" s="90"/>
      <c r="LF14" s="90"/>
      <c r="LG14" s="90"/>
      <c r="LH14" s="90"/>
      <c r="LI14" s="90"/>
      <c r="LJ14" s="90"/>
      <c r="LK14" s="90"/>
      <c r="LL14" s="90"/>
      <c r="LM14" s="90"/>
      <c r="LN14" s="90"/>
      <c r="LO14" s="90"/>
      <c r="LP14" s="90"/>
      <c r="LQ14" s="90"/>
      <c r="LR14" s="90"/>
      <c r="LS14" s="90"/>
      <c r="LT14" s="90"/>
      <c r="LU14" s="90"/>
      <c r="LV14" s="90"/>
      <c r="LW14" s="90"/>
      <c r="LX14" s="90"/>
      <c r="LY14" s="90"/>
      <c r="LZ14" s="90"/>
      <c r="MA14" s="90"/>
      <c r="MB14" s="90"/>
      <c r="MC14" s="90"/>
      <c r="MD14" s="90"/>
      <c r="ME14" s="90"/>
      <c r="MF14" s="90"/>
      <c r="MG14" s="90"/>
      <c r="MH14" s="90"/>
      <c r="MI14" s="90"/>
      <c r="MJ14" s="90"/>
      <c r="MK14" s="90"/>
      <c r="ML14" s="90"/>
      <c r="MM14" s="90"/>
      <c r="MN14" s="90"/>
      <c r="MO14" s="90"/>
      <c r="MP14" s="90"/>
      <c r="MQ14" s="90"/>
      <c r="MR14" s="90"/>
      <c r="MS14" s="90"/>
      <c r="MT14" s="90"/>
      <c r="MU14" s="90"/>
      <c r="MV14" s="90"/>
      <c r="MW14" s="90"/>
      <c r="MX14" s="90"/>
      <c r="MY14" s="90"/>
      <c r="MZ14" s="90"/>
      <c r="NA14" s="90"/>
      <c r="NB14" s="90"/>
      <c r="NC14" s="90"/>
      <c r="ND14" s="90"/>
      <c r="NE14" s="90"/>
      <c r="NF14" s="90"/>
      <c r="NG14" s="90"/>
      <c r="NH14" s="90"/>
      <c r="NI14" s="90"/>
      <c r="NJ14" s="90"/>
      <c r="NK14" s="90"/>
      <c r="NL14" s="90"/>
      <c r="NM14" s="90"/>
      <c r="NN14" s="90"/>
      <c r="NO14" s="90"/>
      <c r="NP14" s="90"/>
      <c r="NQ14" s="90"/>
      <c r="NR14" s="90"/>
      <c r="NS14" s="90"/>
      <c r="NT14" s="90"/>
      <c r="NU14" s="90" t="s">
        <v>76</v>
      </c>
      <c r="NV14" s="90"/>
      <c r="NW14" s="90"/>
      <c r="NX14" s="90"/>
      <c r="NY14" s="90"/>
      <c r="NZ14" s="90"/>
      <c r="OA14" s="90"/>
      <c r="OB14" s="90"/>
      <c r="OC14" s="90"/>
      <c r="OD14" s="90"/>
      <c r="OE14" s="90"/>
      <c r="OF14" s="90"/>
      <c r="OG14" s="90"/>
      <c r="OH14" s="90"/>
      <c r="OI14" s="90"/>
      <c r="OJ14" s="90"/>
      <c r="OK14" s="90"/>
      <c r="OL14" s="90"/>
      <c r="OM14" s="90"/>
      <c r="ON14" s="90"/>
      <c r="OO14" s="90"/>
      <c r="OP14" s="90"/>
      <c r="OQ14" s="90"/>
      <c r="OR14" s="90"/>
      <c r="OS14" s="90"/>
      <c r="OT14" s="90"/>
      <c r="OU14" s="90"/>
      <c r="OV14" s="90"/>
      <c r="ABF14" s="106"/>
      <c r="ABH14" s="90"/>
      <c r="ABL14" s="15"/>
    </row>
    <row r="15" spans="1:769" x14ac:dyDescent="0.25">
      <c r="KD15" s="90"/>
      <c r="KE15" s="90"/>
      <c r="KF15" s="90"/>
      <c r="KG15" s="90"/>
      <c r="KH15" s="90"/>
      <c r="KI15" s="124"/>
      <c r="KJ15" s="124"/>
      <c r="KK15" s="124"/>
      <c r="KL15" s="124"/>
      <c r="KM15" s="124"/>
      <c r="KN15" s="124"/>
      <c r="KO15" s="124"/>
      <c r="KP15" s="124"/>
      <c r="KQ15" s="124"/>
      <c r="KR15" s="124"/>
      <c r="KS15" s="124"/>
      <c r="KT15" s="124"/>
      <c r="KU15" s="124"/>
      <c r="KV15" s="124"/>
      <c r="KW15" s="124"/>
      <c r="KX15" s="124"/>
      <c r="KY15" s="124"/>
      <c r="KZ15" s="124"/>
      <c r="LA15" s="124"/>
      <c r="LB15" s="124"/>
      <c r="LC15" s="124"/>
      <c r="LD15" s="124"/>
      <c r="LE15" s="124"/>
      <c r="LF15" s="124"/>
      <c r="LG15" s="124"/>
      <c r="LH15" s="124"/>
      <c r="LI15" s="124"/>
      <c r="LJ15" s="124"/>
      <c r="LK15" s="124"/>
      <c r="LL15" s="124"/>
      <c r="LM15" s="124"/>
      <c r="LN15" s="124"/>
      <c r="LO15" s="124"/>
      <c r="LP15" s="124"/>
      <c r="LQ15" s="124"/>
      <c r="LR15" s="124"/>
      <c r="LS15" s="124"/>
      <c r="LT15" s="124"/>
      <c r="LU15" s="124"/>
      <c r="LV15" s="124"/>
      <c r="LW15" s="124"/>
      <c r="LX15" s="124"/>
      <c r="LY15" s="124"/>
      <c r="LZ15" s="124"/>
      <c r="MA15" s="124"/>
      <c r="MB15" s="124"/>
      <c r="MC15" s="124"/>
      <c r="MD15" s="124"/>
      <c r="ME15" s="124"/>
      <c r="MF15" s="90"/>
      <c r="MG15" s="90"/>
      <c r="MH15" s="90"/>
      <c r="MI15" s="124"/>
      <c r="MJ15" s="124"/>
      <c r="MK15" s="124"/>
      <c r="ML15" s="124"/>
      <c r="MM15" s="124"/>
      <c r="MN15" s="124"/>
      <c r="MO15" s="124"/>
      <c r="MP15" s="124"/>
      <c r="MQ15" s="124"/>
      <c r="MR15" s="124"/>
      <c r="MS15" s="124"/>
      <c r="MT15" s="124"/>
      <c r="MU15" s="124"/>
      <c r="MV15" s="124"/>
      <c r="MW15" s="124"/>
      <c r="MX15" s="124"/>
      <c r="MY15" s="124"/>
      <c r="MZ15" s="124"/>
      <c r="NA15" s="124"/>
      <c r="NB15" s="124"/>
      <c r="NC15" s="124"/>
      <c r="ND15" s="124"/>
      <c r="NE15" s="124"/>
      <c r="NF15" s="124"/>
      <c r="NG15" s="124"/>
      <c r="NH15" s="124"/>
      <c r="NI15" s="124"/>
      <c r="NJ15" s="124"/>
      <c r="NK15" s="124"/>
      <c r="NL15" s="124"/>
      <c r="NM15" s="124"/>
      <c r="NN15" s="124"/>
      <c r="NO15" s="124"/>
      <c r="NP15" s="124"/>
      <c r="NQ15" s="124"/>
      <c r="NR15" s="124"/>
      <c r="NS15" s="124"/>
      <c r="NT15" s="124"/>
      <c r="NU15" s="124"/>
      <c r="NV15" s="124"/>
      <c r="NW15" s="124"/>
      <c r="NX15" s="124"/>
      <c r="NY15" s="124"/>
      <c r="NZ15" s="124"/>
      <c r="OA15" s="124"/>
      <c r="OB15" s="124"/>
      <c r="OC15" s="124"/>
      <c r="OD15" s="124"/>
      <c r="OE15" s="124"/>
      <c r="OF15" s="124"/>
      <c r="OG15" s="124"/>
      <c r="OH15" s="124"/>
      <c r="OI15" s="124"/>
      <c r="OJ15" s="124"/>
      <c r="OK15" s="124"/>
      <c r="OL15" s="124"/>
      <c r="OM15" s="124"/>
      <c r="ON15" s="124"/>
      <c r="OO15" s="124"/>
      <c r="OP15" s="90"/>
      <c r="OQ15" s="90"/>
      <c r="OR15" s="90"/>
      <c r="OS15" s="90"/>
      <c r="OT15" s="90"/>
      <c r="OU15" s="90"/>
      <c r="OV15" s="90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</row>
    <row r="16" spans="1:769" x14ac:dyDescent="0.25">
      <c r="KD16" s="90"/>
      <c r="KE16" s="90"/>
      <c r="KF16" s="90"/>
      <c r="KG16" s="90"/>
      <c r="KH16" s="90"/>
      <c r="KI16" s="124"/>
      <c r="KJ16" s="124"/>
      <c r="KK16" s="124"/>
      <c r="KL16" s="124"/>
      <c r="KM16" s="124"/>
      <c r="KN16" s="124"/>
      <c r="KO16" s="124"/>
      <c r="KP16" s="124"/>
      <c r="KQ16" s="124"/>
      <c r="KR16" s="124"/>
      <c r="KS16" s="124"/>
      <c r="KT16" s="124"/>
      <c r="KU16" s="124"/>
      <c r="KV16" s="124"/>
      <c r="KW16" s="124"/>
      <c r="KX16" s="132"/>
      <c r="KY16" s="132"/>
      <c r="KZ16" s="132"/>
      <c r="LA16" s="132"/>
      <c r="LB16" s="132"/>
      <c r="LC16" s="132"/>
      <c r="LD16" s="132"/>
      <c r="LE16" s="132"/>
      <c r="LF16" s="132"/>
      <c r="LG16" s="132"/>
      <c r="LH16" s="132"/>
      <c r="LI16" s="132"/>
      <c r="LJ16" s="132"/>
      <c r="LK16" s="132"/>
      <c r="LL16" s="132"/>
      <c r="LM16" s="132"/>
      <c r="LN16" s="132"/>
      <c r="LO16" s="132"/>
      <c r="LP16" s="132"/>
      <c r="LQ16" s="132"/>
      <c r="LR16" s="132"/>
      <c r="LS16" s="132"/>
      <c r="LT16" s="132"/>
      <c r="LU16" s="132"/>
      <c r="LV16" s="132"/>
      <c r="LW16" s="132"/>
      <c r="LX16" s="132"/>
      <c r="LY16" s="132"/>
      <c r="LZ16" s="132"/>
      <c r="MA16" s="132"/>
      <c r="MB16" s="132"/>
      <c r="MC16" s="132"/>
      <c r="MD16" s="132"/>
      <c r="ME16" s="132"/>
      <c r="MF16" s="90"/>
      <c r="MG16" s="90"/>
      <c r="MH16" s="90"/>
      <c r="MI16" s="132"/>
      <c r="MJ16" s="132"/>
      <c r="MK16" s="132"/>
      <c r="ML16" s="132"/>
      <c r="MM16" s="132"/>
      <c r="MN16" s="132"/>
      <c r="MO16" s="132"/>
      <c r="MP16" s="132"/>
      <c r="MQ16" s="132"/>
      <c r="MR16" s="132"/>
      <c r="MS16" s="132"/>
      <c r="MT16" s="132"/>
      <c r="MU16" s="132"/>
      <c r="MV16" s="132"/>
      <c r="MW16" s="132"/>
      <c r="MX16" s="132"/>
      <c r="MY16" s="132"/>
      <c r="MZ16" s="132"/>
      <c r="NA16" s="132"/>
      <c r="NB16" s="132"/>
      <c r="NC16" s="132"/>
      <c r="ND16" s="132"/>
      <c r="NE16" s="132"/>
      <c r="NF16" s="132"/>
      <c r="NG16" s="132"/>
      <c r="NH16" s="132"/>
      <c r="NI16" s="132"/>
      <c r="NJ16" s="132"/>
      <c r="NK16" s="132"/>
      <c r="NL16" s="132"/>
      <c r="NM16" s="132"/>
      <c r="NN16" s="132"/>
      <c r="NO16" s="132"/>
      <c r="NP16" s="132"/>
      <c r="NQ16" s="132"/>
      <c r="NR16" s="132"/>
      <c r="NS16" s="132"/>
      <c r="NT16" s="132"/>
      <c r="NU16" s="132"/>
      <c r="NV16" s="132"/>
      <c r="NW16" s="132"/>
      <c r="NX16" s="132"/>
      <c r="NY16" s="132"/>
      <c r="NZ16" s="132"/>
      <c r="OA16" s="132"/>
      <c r="OB16" s="132"/>
      <c r="OC16" s="132"/>
      <c r="OD16" s="132"/>
      <c r="OE16" s="132"/>
      <c r="OF16" s="132"/>
      <c r="OG16" s="132"/>
      <c r="OH16" s="132"/>
      <c r="OI16" s="132"/>
      <c r="OJ16" s="132"/>
      <c r="OK16" s="132"/>
      <c r="OL16" s="132"/>
      <c r="OM16" s="132"/>
      <c r="ON16" s="132"/>
      <c r="OO16" s="132"/>
      <c r="ABF16" s="106"/>
      <c r="ABH16" s="90"/>
      <c r="ABL16" s="15"/>
    </row>
    <row r="17" spans="1:740" x14ac:dyDescent="0.25">
      <c r="KD17" s="90"/>
      <c r="KE17" s="90"/>
      <c r="KF17" s="90"/>
      <c r="KG17" s="90"/>
      <c r="KH17" s="90"/>
      <c r="KI17" s="90"/>
      <c r="KJ17" s="90"/>
      <c r="KK17" s="90"/>
      <c r="KL17" s="90"/>
      <c r="KM17" s="90"/>
      <c r="KN17" s="90"/>
      <c r="KO17" s="90"/>
      <c r="KP17" s="90"/>
      <c r="KQ17" s="90"/>
      <c r="KR17" s="90"/>
      <c r="KS17" s="90"/>
      <c r="KT17" s="90"/>
      <c r="KU17" s="90"/>
      <c r="KV17" s="90"/>
      <c r="KW17" s="90"/>
      <c r="KX17" s="90"/>
      <c r="KY17" s="90"/>
      <c r="KZ17" s="90"/>
      <c r="LA17" s="90"/>
      <c r="LB17" s="90"/>
      <c r="LC17" s="90"/>
      <c r="LD17" s="90"/>
      <c r="LE17" s="90"/>
      <c r="LF17" s="90"/>
      <c r="LG17" s="90"/>
      <c r="LH17" s="90"/>
      <c r="LI17" s="90"/>
      <c r="LJ17" s="90"/>
      <c r="LK17" s="90"/>
      <c r="LL17" s="90"/>
      <c r="LM17" s="90"/>
      <c r="LN17" s="90"/>
      <c r="LO17" s="90"/>
      <c r="LP17" s="90"/>
      <c r="LQ17" s="90"/>
      <c r="LR17" s="90"/>
      <c r="LS17" s="90"/>
      <c r="LT17" s="90"/>
      <c r="LU17" s="90"/>
      <c r="LV17" s="90"/>
      <c r="LW17" s="90"/>
      <c r="LX17" s="90"/>
      <c r="LY17" s="90"/>
      <c r="LZ17" s="90"/>
      <c r="MA17" s="90"/>
      <c r="MB17" s="90"/>
      <c r="MC17" s="90"/>
      <c r="MD17" s="90"/>
      <c r="ME17" s="90"/>
      <c r="MF17" s="90"/>
      <c r="MG17" s="90"/>
      <c r="MH17" s="90"/>
      <c r="MI17" s="90"/>
      <c r="MJ17" s="90"/>
      <c r="MK17" s="90"/>
      <c r="ML17" s="90"/>
      <c r="MM17" s="90"/>
      <c r="MN17" s="90"/>
      <c r="MO17" s="90"/>
      <c r="MP17" s="90"/>
      <c r="MQ17" s="90"/>
      <c r="MR17" s="90"/>
      <c r="MS17" s="90"/>
      <c r="MT17" s="90"/>
      <c r="MU17" s="90"/>
      <c r="MV17" s="90"/>
      <c r="MW17" s="90"/>
      <c r="MX17" s="90"/>
      <c r="MY17" s="90"/>
      <c r="MZ17" s="90"/>
      <c r="NA17" s="90"/>
      <c r="NB17" s="90"/>
      <c r="NC17" s="90"/>
      <c r="ND17" s="90"/>
      <c r="NE17" s="90"/>
      <c r="NF17" s="90"/>
      <c r="NG17" s="90"/>
      <c r="NH17" s="90"/>
      <c r="NI17" s="90"/>
      <c r="NJ17" s="90"/>
      <c r="NK17" s="90"/>
      <c r="NL17" s="90"/>
      <c r="NM17" s="90"/>
      <c r="NN17" s="90"/>
      <c r="NO17" s="90"/>
      <c r="NP17" s="90"/>
      <c r="NQ17" s="90"/>
      <c r="NR17" s="90"/>
      <c r="NS17" s="90"/>
      <c r="NT17" s="90"/>
      <c r="NU17" s="90"/>
      <c r="NV17" s="90"/>
      <c r="NW17" s="90"/>
      <c r="NX17" s="90"/>
      <c r="NY17" s="90"/>
      <c r="NZ17" s="90"/>
      <c r="OA17" s="90"/>
      <c r="OB17" s="90"/>
      <c r="OC17" s="90"/>
      <c r="OD17" s="90"/>
      <c r="OE17" s="90"/>
      <c r="OF17" s="90"/>
      <c r="OG17" s="90"/>
      <c r="OH17" s="90"/>
      <c r="OI17" s="90"/>
      <c r="OJ17" s="90"/>
      <c r="OK17" s="90"/>
      <c r="OL17" s="90"/>
      <c r="OM17" s="90"/>
      <c r="ON17" s="90"/>
      <c r="OO17" s="90"/>
      <c r="OP17" s="90"/>
      <c r="OQ17" s="90"/>
      <c r="OR17" s="90"/>
      <c r="OS17" s="90"/>
      <c r="OT17" s="90"/>
      <c r="OU17" s="90"/>
      <c r="OV17" s="90"/>
      <c r="ABF17" s="106"/>
      <c r="ABH17" s="90"/>
      <c r="ABL17" s="15"/>
    </row>
    <row r="18" spans="1:740" ht="9" customHeight="1" x14ac:dyDescent="0.25">
      <c r="GG18" s="75" t="s">
        <v>136</v>
      </c>
      <c r="JF18" s="100"/>
      <c r="JG18" s="100"/>
      <c r="JH18" s="100"/>
      <c r="JI18" s="100"/>
      <c r="JJ18" s="100"/>
      <c r="JK18" s="100"/>
      <c r="JL18" s="100"/>
      <c r="JM18" s="100"/>
      <c r="JN18" s="100"/>
      <c r="JO18" s="100"/>
      <c r="JP18" s="100"/>
      <c r="JQ18" s="100"/>
      <c r="JR18" s="100"/>
      <c r="JS18" s="100"/>
      <c r="JT18" s="100"/>
      <c r="JU18" s="100"/>
      <c r="JV18" s="100"/>
      <c r="JW18" s="100"/>
      <c r="JX18" s="100"/>
      <c r="JY18" s="100"/>
      <c r="JZ18" s="100"/>
      <c r="KA18" s="100"/>
      <c r="KB18" s="100"/>
      <c r="KC18" s="100"/>
      <c r="MF18" s="90"/>
      <c r="MG18" s="90"/>
      <c r="MH18" s="90"/>
    </row>
    <row r="19" spans="1:740" ht="9" customHeight="1" x14ac:dyDescent="0.25">
      <c r="S19" t="s">
        <v>137</v>
      </c>
      <c r="GG19" s="86" t="s">
        <v>83</v>
      </c>
      <c r="GH19" s="83" t="s">
        <v>46</v>
      </c>
      <c r="GI19" s="83" t="s">
        <v>48</v>
      </c>
      <c r="GJ19" s="83" t="s">
        <v>50</v>
      </c>
      <c r="GK19" s="83" t="s">
        <v>52</v>
      </c>
      <c r="MF19" s="90"/>
      <c r="MG19" s="90"/>
      <c r="MH19" s="90"/>
    </row>
    <row r="20" spans="1:740" ht="18" customHeight="1" x14ac:dyDescent="0.25">
      <c r="S20" t="s">
        <v>138</v>
      </c>
      <c r="AP20" s="5" t="s">
        <v>44</v>
      </c>
      <c r="AQ20" s="5" t="s">
        <v>45</v>
      </c>
      <c r="AR20" s="12" t="s">
        <v>139</v>
      </c>
      <c r="AS20" s="6" t="s">
        <v>78</v>
      </c>
      <c r="AT20" s="6" t="s">
        <v>140</v>
      </c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84"/>
      <c r="FG20" s="84"/>
      <c r="FH20" s="84"/>
      <c r="FI20" s="84"/>
      <c r="FJ20" s="84"/>
      <c r="FK20" s="84"/>
      <c r="FL20" s="84"/>
      <c r="FM20" s="84"/>
      <c r="FN20" s="84"/>
      <c r="FO20" s="84"/>
      <c r="FP20" s="84"/>
      <c r="FQ20" s="84"/>
      <c r="FR20" s="84"/>
      <c r="FS20" s="84"/>
      <c r="FT20" s="84"/>
      <c r="FU20" s="84"/>
      <c r="FV20" s="84"/>
      <c r="FW20" s="84"/>
      <c r="FX20" s="84"/>
      <c r="FY20" s="84"/>
      <c r="FZ20" s="84"/>
      <c r="GA20" s="84"/>
      <c r="GB20" s="84"/>
      <c r="GC20" s="84"/>
      <c r="GD20" s="84"/>
      <c r="GE20" s="84"/>
      <c r="GF20" s="84"/>
      <c r="GG20" s="92">
        <f>FZ1</f>
        <v>43773</v>
      </c>
      <c r="GH20" s="10">
        <v>7445</v>
      </c>
      <c r="GI20" s="10">
        <f>9099-GK20-(2000*0.125*0)</f>
        <v>7704</v>
      </c>
      <c r="GJ20" s="7">
        <v>12652</v>
      </c>
      <c r="GK20" s="10">
        <v>1395</v>
      </c>
      <c r="GL20" s="84"/>
      <c r="GM20" s="84"/>
      <c r="GN20" s="84"/>
      <c r="GO20" s="84"/>
      <c r="GP20" s="84"/>
      <c r="GQ20" s="84"/>
      <c r="GR20" s="84"/>
      <c r="GS20" s="84"/>
      <c r="GT20" s="84"/>
      <c r="GU20" s="84"/>
      <c r="GV20" s="84"/>
      <c r="GW20" s="84"/>
      <c r="GX20" s="84"/>
      <c r="GY20" s="84"/>
      <c r="GZ20" s="84"/>
      <c r="HA20" s="84"/>
      <c r="HB20" s="84"/>
      <c r="HC20" s="84"/>
      <c r="HD20" s="84"/>
      <c r="HE20" s="84"/>
      <c r="HF20" s="84"/>
      <c r="HG20" s="84"/>
      <c r="HH20" s="84"/>
      <c r="HI20" s="84"/>
      <c r="HJ20" s="84"/>
      <c r="HK20" s="84"/>
      <c r="HL20" s="84"/>
      <c r="HM20" s="84"/>
      <c r="HN20" s="84"/>
      <c r="HO20" s="84"/>
      <c r="HP20" s="84"/>
      <c r="HQ20" s="84"/>
      <c r="HR20" s="84"/>
      <c r="HS20" s="84"/>
      <c r="HT20" s="84"/>
      <c r="HU20" s="84"/>
      <c r="HV20" s="84"/>
      <c r="HW20" s="84"/>
      <c r="HX20" s="84"/>
      <c r="HY20" s="84"/>
      <c r="HZ20" s="84"/>
      <c r="IA20" s="84"/>
      <c r="IB20" s="84"/>
      <c r="IC20" s="84"/>
      <c r="ID20" s="84"/>
      <c r="IE20" s="84"/>
      <c r="IF20" s="84"/>
      <c r="IG20" s="84"/>
      <c r="IH20" s="84"/>
      <c r="II20" s="84"/>
      <c r="IJ20" s="84"/>
      <c r="IK20" s="84"/>
      <c r="IL20" s="84"/>
      <c r="IM20" s="84"/>
      <c r="IN20" s="84"/>
      <c r="IO20" s="84"/>
      <c r="IP20" s="84"/>
      <c r="IQ20" s="84"/>
      <c r="IR20" s="84"/>
      <c r="IS20" s="84"/>
      <c r="IT20" s="84"/>
      <c r="IU20" s="84"/>
      <c r="IV20" s="84"/>
      <c r="IW20" s="84"/>
      <c r="IX20" s="84"/>
      <c r="IY20" s="84"/>
      <c r="IZ20" s="84"/>
      <c r="JA20" s="84"/>
      <c r="JB20" s="84"/>
      <c r="JC20" s="84"/>
      <c r="JD20" s="84"/>
      <c r="JE20" s="84"/>
      <c r="JF20" s="84"/>
      <c r="JG20" s="84"/>
      <c r="JH20" s="84"/>
      <c r="JI20" s="84"/>
      <c r="JJ20" s="84"/>
      <c r="JK20" s="84"/>
      <c r="JL20" s="84"/>
      <c r="JM20" s="84"/>
      <c r="JN20" s="84"/>
      <c r="JO20" s="84"/>
      <c r="JP20" s="84"/>
      <c r="JQ20" s="84"/>
      <c r="JR20" s="84"/>
      <c r="JS20" s="84"/>
      <c r="JT20" s="84"/>
      <c r="JU20" s="84"/>
      <c r="JV20" s="84"/>
      <c r="JW20" s="84"/>
      <c r="JX20" s="84"/>
      <c r="JY20" s="84"/>
      <c r="JZ20" s="84"/>
      <c r="KA20" s="84"/>
      <c r="KB20" s="84"/>
      <c r="KC20" s="84"/>
      <c r="MF20" s="90"/>
      <c r="MG20" s="90"/>
      <c r="MH20" s="90"/>
    </row>
    <row r="21" spans="1:740" ht="18" customHeight="1" x14ac:dyDescent="0.35">
      <c r="A21" s="5" t="s">
        <v>44</v>
      </c>
      <c r="B21" s="5" t="s">
        <v>95</v>
      </c>
      <c r="C21" s="5" t="s">
        <v>96</v>
      </c>
      <c r="D21" s="11">
        <v>43111</v>
      </c>
      <c r="E21" s="11">
        <v>43231</v>
      </c>
      <c r="F21" s="5"/>
      <c r="G21" s="5" t="s">
        <v>45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6" t="s">
        <v>46</v>
      </c>
      <c r="AQ21" s="7" t="s">
        <v>141</v>
      </c>
      <c r="AR21" s="13">
        <v>5877</v>
      </c>
      <c r="AS21" s="14">
        <v>0.65300000000000002</v>
      </c>
      <c r="AT21" s="13">
        <v>2223</v>
      </c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92">
        <f>GA1</f>
        <v>43775</v>
      </c>
      <c r="GH21" s="10">
        <v>7515</v>
      </c>
      <c r="GI21" s="10">
        <f>9099-GK21-(2000*0.125*0)</f>
        <v>7704</v>
      </c>
      <c r="GJ21" s="7">
        <v>12799</v>
      </c>
      <c r="GK21" s="10">
        <v>1395</v>
      </c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6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N21" s="131"/>
      <c r="KO21" s="131"/>
      <c r="KP21" s="131"/>
      <c r="KQ21" s="131"/>
      <c r="KR21" s="131"/>
      <c r="KS21" s="131"/>
      <c r="KT21" s="131"/>
      <c r="KU21" s="131"/>
      <c r="KV21" s="131"/>
      <c r="KW21" s="131"/>
      <c r="KX21" s="131"/>
      <c r="KY21" s="131"/>
      <c r="KZ21" s="131"/>
      <c r="LA21" s="131"/>
      <c r="LB21" s="131"/>
      <c r="LC21" s="131"/>
      <c r="LD21" s="131"/>
      <c r="LE21" s="131"/>
      <c r="LF21" s="131"/>
      <c r="LG21" s="131"/>
      <c r="LH21" s="131"/>
      <c r="LI21" s="131"/>
      <c r="LJ21" s="131"/>
      <c r="LK21" s="131"/>
      <c r="LL21" s="131"/>
      <c r="LM21" s="131"/>
      <c r="LN21" s="131"/>
      <c r="LO21" s="131"/>
      <c r="LP21" s="131"/>
      <c r="LQ21" s="131"/>
      <c r="LR21" s="131"/>
      <c r="LS21" s="131"/>
      <c r="LT21" s="131"/>
      <c r="LU21" s="131"/>
      <c r="LV21" s="131"/>
      <c r="LW21" s="131"/>
      <c r="LX21" s="131"/>
      <c r="LY21" s="131"/>
      <c r="LZ21" s="131"/>
      <c r="MA21" s="131"/>
      <c r="MB21" s="131"/>
      <c r="MC21" s="131"/>
      <c r="MD21" s="131"/>
      <c r="ME21" s="131"/>
      <c r="MF21" s="90"/>
      <c r="MG21" s="90"/>
      <c r="MH21" s="90"/>
      <c r="MI21" s="131"/>
      <c r="MJ21" s="131"/>
      <c r="MK21" s="131"/>
      <c r="ML21" s="131"/>
      <c r="MM21" s="131"/>
      <c r="MN21" s="131"/>
      <c r="MO21" s="131"/>
      <c r="MP21" s="131"/>
      <c r="MQ21" s="131"/>
      <c r="MR21" s="131"/>
      <c r="MS21" s="131"/>
      <c r="MT21" s="131"/>
      <c r="MU21" s="131"/>
      <c r="MV21" s="131"/>
      <c r="MW21" s="131"/>
      <c r="MX21" s="131"/>
      <c r="MY21" s="131"/>
      <c r="MZ21" s="131"/>
      <c r="NA21" s="131"/>
      <c r="NB21" s="131"/>
      <c r="NC21" s="131"/>
      <c r="ND21" s="131"/>
      <c r="NE21" s="131"/>
      <c r="NF21" s="131"/>
      <c r="NG21" s="131"/>
      <c r="NH21" s="131"/>
      <c r="NI21" s="131"/>
      <c r="NJ21" s="131"/>
      <c r="NK21" s="131"/>
      <c r="NL21" s="131"/>
      <c r="NM21" s="131"/>
      <c r="NN21" s="131"/>
      <c r="NO21" s="131"/>
      <c r="NP21" s="131"/>
      <c r="NQ21" s="131"/>
      <c r="NR21" s="131"/>
      <c r="NS21" s="131"/>
      <c r="NT21" s="131"/>
      <c r="NU21" s="131"/>
      <c r="NV21" s="131"/>
      <c r="NW21" s="131"/>
      <c r="NX21" s="131"/>
      <c r="NY21" s="140"/>
      <c r="NZ21" s="140"/>
      <c r="OA21" s="140"/>
      <c r="OB21" s="140"/>
      <c r="OC21" s="140"/>
      <c r="OD21" s="140"/>
      <c r="OE21" s="140"/>
      <c r="OF21" s="140"/>
      <c r="OG21" s="140"/>
      <c r="OH21" s="140"/>
      <c r="OI21" s="140"/>
      <c r="OJ21" s="140"/>
      <c r="OK21" s="140"/>
      <c r="OL21" s="140"/>
      <c r="OM21" s="140"/>
      <c r="ON21" s="140"/>
      <c r="OO21" s="140"/>
    </row>
    <row r="22" spans="1:740" x14ac:dyDescent="0.25">
      <c r="A22" s="6" t="s">
        <v>46</v>
      </c>
      <c r="B22" s="9">
        <f t="shared" ref="B22:E26" si="5">D2/$G22</f>
        <v>0.76688888888888884</v>
      </c>
      <c r="C22" s="9">
        <f t="shared" si="5"/>
        <v>0.76966666666666672</v>
      </c>
      <c r="D22" s="9">
        <f t="shared" si="5"/>
        <v>0.80266666666666664</v>
      </c>
      <c r="E22" s="9">
        <f t="shared" si="5"/>
        <v>0.81222222222222218</v>
      </c>
      <c r="F22" s="8" t="s">
        <v>47</v>
      </c>
      <c r="G22" s="7">
        <v>9000</v>
      </c>
      <c r="AP22" s="6" t="s">
        <v>48</v>
      </c>
      <c r="AQ22" s="7" t="s">
        <v>142</v>
      </c>
      <c r="AR22" s="13">
        <v>8507</v>
      </c>
      <c r="AS22" s="14">
        <v>1</v>
      </c>
      <c r="AT22" s="13">
        <v>0</v>
      </c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92">
        <f>GB1</f>
        <v>43776</v>
      </c>
      <c r="GH22" s="10">
        <v>7756</v>
      </c>
      <c r="GI22" s="10">
        <f>9334-GK22-(2000*0.125*0)</f>
        <v>7956</v>
      </c>
      <c r="GJ22" s="7">
        <v>13085</v>
      </c>
      <c r="GK22" s="10">
        <v>1378</v>
      </c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6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N22" s="131"/>
      <c r="KO22" s="131"/>
      <c r="KP22" s="131"/>
      <c r="KQ22" s="131"/>
      <c r="KR22" s="131"/>
      <c r="KS22" s="131"/>
      <c r="KT22" s="131"/>
      <c r="KU22" s="131"/>
      <c r="KV22" s="131"/>
      <c r="KW22" s="131"/>
      <c r="KX22" s="131"/>
      <c r="KY22" s="131"/>
      <c r="KZ22" s="131"/>
      <c r="LA22" s="131"/>
      <c r="LB22" s="131"/>
      <c r="LC22" s="131"/>
      <c r="LD22" s="131"/>
      <c r="LE22" s="131"/>
      <c r="LF22" s="131"/>
      <c r="LG22" s="131"/>
      <c r="LH22" s="131"/>
      <c r="LI22" s="131"/>
      <c r="LJ22" s="131"/>
      <c r="LK22" s="131"/>
      <c r="LL22" s="131"/>
      <c r="LM22" s="131"/>
      <c r="LN22" s="131"/>
      <c r="LO22" s="131"/>
      <c r="LP22" s="131"/>
      <c r="LQ22" s="131"/>
      <c r="LR22" s="131"/>
      <c r="LS22" s="131"/>
      <c r="LT22" s="131"/>
      <c r="LU22" s="131"/>
      <c r="LV22" s="131"/>
      <c r="LW22" s="131"/>
      <c r="LX22" s="131"/>
      <c r="LY22" s="131"/>
      <c r="LZ22" s="131"/>
      <c r="MA22" s="131"/>
      <c r="MB22" s="131"/>
      <c r="MC22" s="131"/>
      <c r="MD22" s="131"/>
      <c r="ME22" s="131"/>
      <c r="MF22" s="90"/>
      <c r="MG22" s="90"/>
      <c r="MH22" s="90"/>
      <c r="MI22" s="131"/>
      <c r="MJ22" s="131"/>
      <c r="MK22" s="131"/>
      <c r="ML22" s="131"/>
      <c r="MM22" s="131"/>
      <c r="MN22" s="131"/>
      <c r="MO22" s="131"/>
      <c r="MP22" s="131"/>
      <c r="MQ22" s="131"/>
      <c r="MR22" s="131"/>
      <c r="MS22" s="131"/>
      <c r="MT22" s="131"/>
      <c r="MU22" s="131"/>
      <c r="MV22" s="131"/>
      <c r="MW22" s="131"/>
      <c r="MX22" s="131"/>
      <c r="MY22" s="131"/>
      <c r="MZ22" s="131"/>
      <c r="NA22" s="131"/>
      <c r="NB22" s="131"/>
      <c r="NC22" s="131"/>
      <c r="ND22" s="131"/>
      <c r="NE22" s="131"/>
      <c r="NF22" s="131"/>
      <c r="NG22" s="131"/>
      <c r="NH22" s="131"/>
      <c r="NI22" s="131"/>
      <c r="NJ22" s="131"/>
      <c r="NK22" s="131"/>
      <c r="NL22" s="131"/>
      <c r="NM22" s="131"/>
      <c r="NN22" s="131"/>
      <c r="NO22" s="131"/>
      <c r="NP22" s="131"/>
      <c r="NQ22" s="131"/>
      <c r="NR22" s="131"/>
      <c r="NS22" s="131"/>
      <c r="NT22" s="131"/>
      <c r="NU22" s="131"/>
      <c r="NV22" s="131"/>
      <c r="NW22" s="131"/>
      <c r="NX22" s="131"/>
      <c r="NY22" s="141"/>
      <c r="NZ22" s="141"/>
      <c r="OA22" s="141"/>
      <c r="OB22" s="141"/>
      <c r="OC22" s="141"/>
      <c r="OD22" s="141"/>
      <c r="OE22" s="141"/>
      <c r="OF22" s="141"/>
      <c r="OG22" s="141"/>
      <c r="OH22" s="141"/>
      <c r="OI22" s="141"/>
      <c r="OJ22" s="141"/>
      <c r="OK22" s="141"/>
      <c r="OL22" s="141"/>
      <c r="OM22" s="141"/>
      <c r="ON22" s="141"/>
      <c r="OO22" s="141"/>
    </row>
    <row r="23" spans="1:740" x14ac:dyDescent="0.25">
      <c r="A23" s="6" t="s">
        <v>48</v>
      </c>
      <c r="B23" s="9">
        <f t="shared" si="5"/>
        <v>0.75937500000000002</v>
      </c>
      <c r="C23" s="9">
        <f t="shared" si="5"/>
        <v>0.75937500000000002</v>
      </c>
      <c r="D23" s="9">
        <f t="shared" si="5"/>
        <v>0.75937500000000002</v>
      </c>
      <c r="E23" s="9">
        <f t="shared" si="5"/>
        <v>0.75937500000000002</v>
      </c>
      <c r="F23" s="8" t="s">
        <v>47</v>
      </c>
      <c r="G23" s="7">
        <v>8000</v>
      </c>
      <c r="AP23" s="6" t="s">
        <v>50</v>
      </c>
      <c r="AQ23" s="7" t="s">
        <v>143</v>
      </c>
      <c r="AR23" s="13">
        <v>11682</v>
      </c>
      <c r="AS23" s="14">
        <v>0.64900000000000002</v>
      </c>
      <c r="AT23" s="13">
        <v>4518</v>
      </c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93">
        <f>GC1</f>
        <v>43780</v>
      </c>
      <c r="GH23" s="10">
        <v>7299</v>
      </c>
      <c r="GI23" s="10">
        <f>9133-GK23-(2000*0.125*0)</f>
        <v>7666</v>
      </c>
      <c r="GJ23" s="7">
        <v>14114</v>
      </c>
      <c r="GK23" s="10">
        <v>1467</v>
      </c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6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G23" s="16"/>
      <c r="KH23" s="16"/>
      <c r="KI23" s="16"/>
      <c r="KJ23" s="16"/>
      <c r="KK23" s="16"/>
      <c r="KL23" s="16"/>
      <c r="KM23" s="16"/>
      <c r="KN23" s="16"/>
      <c r="KO23" s="16"/>
      <c r="KP23" s="16"/>
      <c r="KQ23" s="16"/>
      <c r="KR23" s="16"/>
      <c r="KS23" s="16"/>
      <c r="KT23" s="16"/>
      <c r="KU23" s="16"/>
      <c r="KV23" s="16"/>
      <c r="KW23" s="16"/>
      <c r="KX23" s="16"/>
      <c r="KY23" s="16"/>
      <c r="KZ23" s="16"/>
      <c r="LA23" s="16"/>
      <c r="LB23" s="16"/>
      <c r="LC23" s="16"/>
      <c r="LD23" s="16"/>
      <c r="LE23" s="16"/>
      <c r="LF23" s="16"/>
      <c r="LG23" s="16"/>
      <c r="LH23" s="16"/>
      <c r="LI23" s="16"/>
      <c r="LJ23" s="16"/>
      <c r="LK23" s="16"/>
      <c r="LL23" s="16"/>
      <c r="LM23" s="16"/>
      <c r="LN23" s="16"/>
      <c r="LO23" s="16"/>
      <c r="LP23" s="16"/>
      <c r="LQ23" s="16"/>
      <c r="LR23" s="16"/>
      <c r="LS23" s="16"/>
      <c r="LT23" s="16"/>
      <c r="LU23" s="16"/>
      <c r="LV23" s="16"/>
      <c r="LW23" s="16"/>
      <c r="LX23" s="16"/>
      <c r="LY23" s="16"/>
      <c r="LZ23" s="16"/>
      <c r="MA23" s="16"/>
      <c r="MB23" s="16"/>
      <c r="MC23" s="16"/>
      <c r="MD23" s="16"/>
      <c r="ME23" s="16"/>
      <c r="MF23" s="90"/>
      <c r="MG23" s="90"/>
      <c r="MH23" s="90"/>
      <c r="MI23" s="16"/>
      <c r="MJ23" s="16"/>
      <c r="MK23" s="16"/>
      <c r="ML23" s="16"/>
      <c r="MM23" s="16"/>
      <c r="MN23" s="16"/>
      <c r="MO23" s="16"/>
      <c r="MP23" s="16"/>
      <c r="MQ23" s="16"/>
      <c r="MR23" s="16"/>
      <c r="MS23" s="16"/>
      <c r="MT23" s="16"/>
      <c r="MU23" s="16"/>
      <c r="MV23" s="16"/>
      <c r="MW23" s="16"/>
      <c r="MX23" s="16"/>
      <c r="MY23" s="16"/>
      <c r="MZ23" s="16"/>
      <c r="NA23" s="16"/>
      <c r="NB23" s="16"/>
      <c r="NC23" s="16"/>
      <c r="ND23" s="16"/>
      <c r="NE23" s="16"/>
      <c r="NF23" s="16"/>
      <c r="NG23" s="16"/>
      <c r="NH23" s="16"/>
      <c r="NI23" s="16"/>
      <c r="NJ23" s="16"/>
      <c r="NK23" s="16"/>
      <c r="NL23" s="16"/>
      <c r="NM23" s="16"/>
      <c r="NN23" s="16"/>
      <c r="NO23" s="16"/>
      <c r="NP23" s="16"/>
      <c r="NQ23" s="16"/>
      <c r="NR23" s="16"/>
      <c r="NS23" s="16"/>
      <c r="NT23" s="16"/>
      <c r="NU23" s="16"/>
      <c r="NV23" s="16"/>
      <c r="NW23" s="16"/>
      <c r="NX23" s="16"/>
      <c r="NY23" s="142"/>
      <c r="NZ23" s="142"/>
      <c r="OA23" s="142"/>
      <c r="OB23" s="142"/>
      <c r="OC23" s="142"/>
      <c r="OD23" s="142"/>
      <c r="OE23" s="142"/>
      <c r="OF23" s="142"/>
      <c r="OG23" s="142"/>
      <c r="OH23" s="142"/>
      <c r="OI23" s="142"/>
      <c r="OJ23" s="142"/>
      <c r="OK23" s="142"/>
      <c r="OL23" s="142"/>
      <c r="OM23" s="142"/>
      <c r="ON23" s="142"/>
      <c r="OO23" s="142"/>
      <c r="OP23" s="16"/>
      <c r="OQ23" s="16"/>
      <c r="OR23" s="16"/>
      <c r="OS23" s="16"/>
      <c r="OT23" s="16"/>
      <c r="OU23" s="16"/>
      <c r="OV23" s="16"/>
    </row>
    <row r="24" spans="1:740" x14ac:dyDescent="0.25">
      <c r="A24" s="6" t="s">
        <v>50</v>
      </c>
      <c r="B24" s="9">
        <f t="shared" si="5"/>
        <v>0.74357723577235768</v>
      </c>
      <c r="C24" s="9">
        <f t="shared" si="5"/>
        <v>0.7455284552845528</v>
      </c>
      <c r="D24" s="9">
        <f t="shared" si="5"/>
        <v>0.74292682926829268</v>
      </c>
      <c r="E24" s="9">
        <f t="shared" si="5"/>
        <v>0.73569105691056913</v>
      </c>
      <c r="F24" s="8" t="s">
        <v>47</v>
      </c>
      <c r="G24" s="7">
        <v>12300</v>
      </c>
      <c r="AP24" s="6" t="s">
        <v>52</v>
      </c>
      <c r="AQ24" s="7" t="s">
        <v>144</v>
      </c>
      <c r="AR24" s="13">
        <v>1090</v>
      </c>
      <c r="AS24" s="14">
        <v>0.54500000000000004</v>
      </c>
      <c r="AT24" s="13">
        <v>710</v>
      </c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>
        <f>65000*0.9</f>
        <v>58500</v>
      </c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93">
        <f>GD1</f>
        <v>43782</v>
      </c>
      <c r="GH24" s="10">
        <v>7327</v>
      </c>
      <c r="GI24" s="10">
        <f>9022-GK24-(2000*0.125*0)</f>
        <v>7646</v>
      </c>
      <c r="GJ24" s="7">
        <v>14359</v>
      </c>
      <c r="GK24" s="10">
        <v>1376</v>
      </c>
      <c r="MF24" s="90"/>
      <c r="MG24" s="90"/>
      <c r="MH24" s="90"/>
      <c r="ABF24" s="111" t="s">
        <v>76</v>
      </c>
    </row>
    <row r="25" spans="1:740" x14ac:dyDescent="0.25">
      <c r="A25" s="6" t="s">
        <v>52</v>
      </c>
      <c r="B25" s="9">
        <f t="shared" si="5"/>
        <v>0.375</v>
      </c>
      <c r="C25" s="9">
        <f t="shared" si="5"/>
        <v>0.39500000000000002</v>
      </c>
      <c r="D25" s="9">
        <f t="shared" si="5"/>
        <v>0.36449999999999999</v>
      </c>
      <c r="E25" s="9">
        <f t="shared" si="5"/>
        <v>0.36</v>
      </c>
      <c r="F25" s="8" t="s">
        <v>47</v>
      </c>
      <c r="G25" s="7">
        <v>2000</v>
      </c>
      <c r="AP25" s="6" t="s">
        <v>54</v>
      </c>
      <c r="AQ25" s="7" t="s">
        <v>145</v>
      </c>
      <c r="AR25" s="13">
        <v>60500</v>
      </c>
      <c r="AS25" s="14">
        <v>0.93076923076923079</v>
      </c>
      <c r="AT25" s="13">
        <v>4500</v>
      </c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93">
        <f>GE1</f>
        <v>43783</v>
      </c>
      <c r="GH25" s="10">
        <v>7345</v>
      </c>
      <c r="GI25" s="10">
        <f>8977-GK25-(2000*0.125*0)</f>
        <v>7584</v>
      </c>
      <c r="GJ25" s="7">
        <v>14506</v>
      </c>
      <c r="GK25" s="10">
        <v>1393</v>
      </c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6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</row>
    <row r="26" spans="1:740" x14ac:dyDescent="0.25">
      <c r="A26" s="6" t="s">
        <v>54</v>
      </c>
      <c r="B26" s="9">
        <f t="shared" si="5"/>
        <v>0.92307692307692313</v>
      </c>
      <c r="C26" s="9">
        <f t="shared" si="5"/>
        <v>0.92307692307692313</v>
      </c>
      <c r="D26" s="9">
        <f t="shared" si="5"/>
        <v>0.92307692307692313</v>
      </c>
      <c r="E26" s="9">
        <f t="shared" si="5"/>
        <v>0.92307692307692313</v>
      </c>
      <c r="F26" s="8" t="s">
        <v>55</v>
      </c>
      <c r="G26" s="7">
        <v>65000</v>
      </c>
      <c r="GG26" s="93">
        <f>GF1</f>
        <v>43784</v>
      </c>
      <c r="GH26" s="10">
        <v>7415</v>
      </c>
      <c r="GI26" s="10">
        <f>8984-GK26-(2000*0.125*0)</f>
        <v>7624</v>
      </c>
      <c r="GJ26" s="7">
        <v>14436</v>
      </c>
      <c r="GK26" s="10">
        <v>1360</v>
      </c>
    </row>
    <row r="27" spans="1:740" x14ac:dyDescent="0.25">
      <c r="GG27" s="94">
        <f>GG1</f>
        <v>43787</v>
      </c>
      <c r="GH27" s="10">
        <v>6915</v>
      </c>
      <c r="GI27" s="10">
        <f>9052-GK27-(2000*0.125*0)</f>
        <v>7639</v>
      </c>
      <c r="GJ27" s="7">
        <v>14550</v>
      </c>
      <c r="GK27" s="10">
        <v>1413</v>
      </c>
    </row>
    <row r="28" spans="1:740" x14ac:dyDescent="0.25">
      <c r="GG28" s="94">
        <f>GH1</f>
        <v>43790</v>
      </c>
      <c r="GH28" s="10">
        <v>7132</v>
      </c>
      <c r="GI28" s="10">
        <f>9210-GK28-(2000*0.125*0)</f>
        <v>7888</v>
      </c>
      <c r="GJ28" s="7">
        <v>14372</v>
      </c>
      <c r="GK28" s="10">
        <v>1322</v>
      </c>
    </row>
    <row r="29" spans="1:740" x14ac:dyDescent="0.25">
      <c r="GG29" s="94">
        <f>GI1</f>
        <v>43791</v>
      </c>
      <c r="GH29" s="10">
        <v>7246</v>
      </c>
      <c r="GI29" s="10">
        <f>9315-GK29-(2000*0.125*0)</f>
        <v>7993</v>
      </c>
      <c r="GJ29" s="7">
        <v>14259</v>
      </c>
      <c r="GK29" s="10">
        <v>1322</v>
      </c>
      <c r="GL29" t="s">
        <v>76</v>
      </c>
    </row>
    <row r="30" spans="1:740" x14ac:dyDescent="0.25">
      <c r="GG30" s="94">
        <f>GJ1</f>
        <v>43794</v>
      </c>
      <c r="GH30" s="10">
        <v>7205</v>
      </c>
      <c r="GI30" s="10">
        <f>9086-GK30-(2000*0.125*0)</f>
        <v>7764</v>
      </c>
      <c r="GJ30" s="7">
        <v>13268</v>
      </c>
      <c r="GK30" s="10">
        <v>1322</v>
      </c>
    </row>
    <row r="31" spans="1:740" x14ac:dyDescent="0.25">
      <c r="GG31" s="94">
        <f>GK1</f>
        <v>43795</v>
      </c>
      <c r="GH31" s="10">
        <v>7180</v>
      </c>
      <c r="GI31" s="10">
        <f>9075-GK31-(2000*0.125*0)</f>
        <v>7789</v>
      </c>
      <c r="GJ31" s="7">
        <v>13083</v>
      </c>
      <c r="GK31" s="10">
        <v>1286</v>
      </c>
    </row>
    <row r="32" spans="1:740" x14ac:dyDescent="0.25">
      <c r="GG32" s="94">
        <f>$GL$1</f>
        <v>43799</v>
      </c>
      <c r="GH32" s="10">
        <v>7226</v>
      </c>
      <c r="GI32" s="10">
        <f>9497-GK32-(2000*0.125*0)</f>
        <v>7983</v>
      </c>
      <c r="GJ32" s="7">
        <v>13316</v>
      </c>
      <c r="GK32" s="10">
        <v>1514</v>
      </c>
    </row>
    <row r="33" spans="189:759" x14ac:dyDescent="0.25">
      <c r="GG33" s="94"/>
      <c r="GH33" s="10"/>
      <c r="GI33" s="10"/>
      <c r="GJ33" s="7"/>
      <c r="GK33" s="10"/>
    </row>
    <row r="34" spans="189:759" x14ac:dyDescent="0.25">
      <c r="GG34" s="94">
        <f>$GM$1</f>
        <v>43802</v>
      </c>
      <c r="GH34" s="10">
        <v>7171</v>
      </c>
      <c r="GI34" s="10">
        <f>8848-GK34-(2000*0.125*0)</f>
        <v>7337</v>
      </c>
      <c r="GJ34" s="7">
        <v>13276</v>
      </c>
      <c r="GK34" s="10">
        <v>1511</v>
      </c>
      <c r="ABE34" s="54"/>
    </row>
    <row r="35" spans="189:759" x14ac:dyDescent="0.25">
      <c r="GG35" s="163"/>
      <c r="GH35" s="122"/>
      <c r="GI35" s="122"/>
      <c r="GK35" s="122"/>
      <c r="ABE35" s="54"/>
    </row>
    <row r="36" spans="189:759" x14ac:dyDescent="0.25">
      <c r="GG36" s="163"/>
      <c r="GH36" s="122"/>
      <c r="GI36" s="122"/>
      <c r="GK36" s="122"/>
      <c r="ABE36" s="54"/>
    </row>
    <row r="37" spans="189:759" x14ac:dyDescent="0.25">
      <c r="GG37" s="163"/>
      <c r="GH37" s="122"/>
      <c r="GI37" s="122"/>
      <c r="GK37" s="122"/>
      <c r="ABE37" s="54"/>
    </row>
    <row r="38" spans="189:759" x14ac:dyDescent="0.25">
      <c r="GG38" s="163"/>
      <c r="GH38" s="122"/>
      <c r="GI38" s="122"/>
      <c r="GK38" s="122"/>
      <c r="ABE38" s="54"/>
    </row>
    <row r="39" spans="189:759" x14ac:dyDescent="0.25">
      <c r="GG39" s="163"/>
      <c r="GH39" s="122"/>
      <c r="GI39" s="122"/>
      <c r="GK39" s="122"/>
      <c r="ABE39" s="54"/>
    </row>
    <row r="40" spans="189:759" x14ac:dyDescent="0.25">
      <c r="GG40" s="163"/>
      <c r="GH40" s="122"/>
      <c r="GI40" s="122"/>
      <c r="GK40" s="122"/>
      <c r="ABE40" s="54"/>
    </row>
    <row r="41" spans="189:759" x14ac:dyDescent="0.25">
      <c r="GG41" s="163"/>
      <c r="GH41" s="122"/>
      <c r="GI41" s="122"/>
      <c r="GK41" s="122"/>
      <c r="ABE41" s="54"/>
    </row>
    <row r="42" spans="189:759" x14ac:dyDescent="0.25">
      <c r="GG42" s="163"/>
      <c r="GH42" s="122"/>
      <c r="GI42" s="122"/>
      <c r="GK42" s="122"/>
      <c r="ABE42" s="54"/>
    </row>
    <row r="43" spans="189:759" x14ac:dyDescent="0.25">
      <c r="GG43" s="163"/>
      <c r="GH43" s="122"/>
      <c r="GI43" s="122"/>
      <c r="GK43" s="122"/>
      <c r="ABE43" s="54"/>
    </row>
    <row r="44" spans="189:759" x14ac:dyDescent="0.25">
      <c r="GG44" s="163"/>
      <c r="GH44" s="122"/>
      <c r="GI44" s="122"/>
      <c r="GK44" s="122"/>
      <c r="ABE44" s="54"/>
    </row>
    <row r="45" spans="189:759" x14ac:dyDescent="0.25">
      <c r="GG45" s="163"/>
      <c r="GH45" s="122"/>
      <c r="GI45" s="122"/>
      <c r="GK45" s="122"/>
      <c r="ABE45" s="54"/>
    </row>
    <row r="46" spans="189:759" x14ac:dyDescent="0.25">
      <c r="GG46" s="163"/>
      <c r="GH46" s="122"/>
      <c r="GI46" s="122"/>
      <c r="GK46" s="122"/>
      <c r="ABE46" s="54"/>
    </row>
    <row r="47" spans="189:759" x14ac:dyDescent="0.25">
      <c r="GG47" s="163"/>
      <c r="GH47" s="122"/>
      <c r="GI47" s="122"/>
      <c r="GK47" s="122"/>
      <c r="ABE47" s="54"/>
    </row>
    <row r="48" spans="189:759" ht="40.5" customHeight="1" x14ac:dyDescent="0.25">
      <c r="ABE48" s="91" t="s">
        <v>146</v>
      </c>
      <c r="ACB48" s="50"/>
      <c r="ACC48" s="50"/>
      <c r="ACD48" s="50"/>
      <c r="ACE48" s="50"/>
    </row>
    <row r="49" spans="504:764" ht="40.5" customHeight="1" x14ac:dyDescent="0.25">
      <c r="ABG49" t="s">
        <v>147</v>
      </c>
      <c r="ACB49" s="50"/>
      <c r="ACC49" s="50"/>
      <c r="ACD49" s="50"/>
      <c r="ACE49" s="50"/>
    </row>
    <row r="50" spans="504:764" ht="40.5" customHeight="1" x14ac:dyDescent="0.25">
      <c r="ACB50" s="50"/>
      <c r="ACC50" s="50"/>
      <c r="ACD50" s="50"/>
      <c r="ACE50" s="50"/>
    </row>
    <row r="51" spans="504:764" ht="40.5" customHeight="1" x14ac:dyDescent="0.25">
      <c r="ACB51" s="50"/>
      <c r="ACC51" s="50"/>
      <c r="ACD51" s="50"/>
      <c r="ACE51" s="50"/>
    </row>
    <row r="52" spans="504:764" ht="40.5" customHeight="1" x14ac:dyDescent="0.25">
      <c r="ABL52" s="71"/>
      <c r="ACB52" s="50"/>
      <c r="ACC52" s="50"/>
      <c r="ACD52" s="50"/>
      <c r="ACE52" s="50"/>
    </row>
    <row r="53" spans="504:764" ht="40.5" customHeight="1" x14ac:dyDescent="0.25">
      <c r="ACB53" s="50"/>
      <c r="ACC53" s="50"/>
      <c r="ACD53" s="50"/>
      <c r="ACE53" s="50"/>
    </row>
    <row r="54" spans="504:764" ht="47.25" customHeight="1" x14ac:dyDescent="0.25">
      <c r="ABF54" s="111" t="s">
        <v>148</v>
      </c>
      <c r="ABI54" s="134"/>
      <c r="ABJ54">
        <v>7.0000000000000007E-2</v>
      </c>
      <c r="ABK54" t="s">
        <v>46</v>
      </c>
      <c r="ABN54" s="70" t="s">
        <v>149</v>
      </c>
      <c r="ABQ54" s="70" t="s">
        <v>150</v>
      </c>
    </row>
    <row r="55" spans="504:764" ht="15.75" thickBot="1" x14ac:dyDescent="0.3">
      <c r="ABE55" s="75" t="s">
        <v>151</v>
      </c>
      <c r="ABJ55">
        <v>0.03</v>
      </c>
      <c r="ABK55" t="s">
        <v>152</v>
      </c>
      <c r="ABL55" s="471"/>
      <c r="ABM55" s="471"/>
      <c r="ABN55" s="70" t="s">
        <v>153</v>
      </c>
    </row>
    <row r="56" spans="504:764" ht="29.25" customHeight="1" thickBot="1" x14ac:dyDescent="0.3">
      <c r="ABE56" s="164"/>
      <c r="ABF56" s="193">
        <f>ABG58-ABH58</f>
        <v>1034.4769312000008</v>
      </c>
      <c r="ABG56" s="193">
        <v>950</v>
      </c>
      <c r="ABH56" s="193">
        <f>ABG58-8497.5</f>
        <v>1002.5</v>
      </c>
      <c r="ABI56" s="193"/>
      <c r="ABJ56" s="193">
        <f>ABI58-ABJ58</f>
        <v>369.47693120000065</v>
      </c>
      <c r="ABK56" s="164"/>
      <c r="ABL56" s="472" t="s">
        <v>154</v>
      </c>
      <c r="ABM56" s="473"/>
    </row>
    <row r="57" spans="504:764" ht="41.25" customHeight="1" thickBot="1" x14ac:dyDescent="0.3">
      <c r="ABE57" s="307" t="s">
        <v>155</v>
      </c>
      <c r="ABF57" s="165" t="s">
        <v>156</v>
      </c>
      <c r="ABG57" s="165" t="s">
        <v>157</v>
      </c>
      <c r="ABH57" s="165" t="s">
        <v>158</v>
      </c>
      <c r="ABI57" s="165" t="s">
        <v>159</v>
      </c>
      <c r="ABJ57" s="165" t="s">
        <v>160</v>
      </c>
      <c r="ABK57" s="166" t="s">
        <v>161</v>
      </c>
      <c r="ABL57" s="162" t="s">
        <v>89</v>
      </c>
      <c r="ABM57" s="150" t="s">
        <v>90</v>
      </c>
      <c r="ABN57" s="70" t="s">
        <v>162</v>
      </c>
      <c r="ABY57" s="88" t="s">
        <v>155</v>
      </c>
      <c r="ABZ57" s="88" t="s">
        <v>89</v>
      </c>
      <c r="ACA57" s="150" t="s">
        <v>90</v>
      </c>
    </row>
    <row r="58" spans="504:764" ht="28.5" customHeight="1" thickBot="1" x14ac:dyDescent="0.3">
      <c r="SJ58" s="134"/>
      <c r="ST58" s="134">
        <f>ABG60*7%</f>
        <v>717.50000000000011</v>
      </c>
      <c r="SV58" s="134"/>
      <c r="SW58" s="134"/>
      <c r="SX58" s="134"/>
      <c r="SY58" s="134"/>
      <c r="SZ58" s="134"/>
      <c r="TA58" s="134"/>
      <c r="TB58" s="134"/>
      <c r="TC58" s="134"/>
      <c r="TD58" s="134"/>
      <c r="TE58" s="134"/>
      <c r="TF58" s="134"/>
      <c r="TG58" s="134"/>
      <c r="TH58" s="134"/>
      <c r="TI58" s="134"/>
      <c r="TJ58" s="134"/>
      <c r="TK58" s="134"/>
      <c r="TL58" s="134"/>
      <c r="TM58" s="134"/>
      <c r="TN58" s="134"/>
      <c r="TO58" s="134"/>
      <c r="TP58" s="134"/>
      <c r="TQ58" s="134"/>
      <c r="TR58" s="134"/>
      <c r="TS58" s="134"/>
      <c r="TT58" s="134"/>
      <c r="TU58" s="134"/>
      <c r="TV58" s="134"/>
      <c r="TW58" s="134"/>
      <c r="TX58" s="134"/>
      <c r="TY58" s="134"/>
      <c r="TZ58" s="134"/>
      <c r="UA58" s="134"/>
      <c r="UB58" s="134"/>
      <c r="UC58" s="134"/>
      <c r="UD58" s="134"/>
      <c r="UE58" s="134"/>
      <c r="UF58" s="134"/>
      <c r="UG58" s="134"/>
      <c r="UH58" s="134"/>
      <c r="UI58" s="134"/>
      <c r="UJ58" s="134"/>
      <c r="UK58" s="134"/>
      <c r="UL58" s="134"/>
      <c r="UM58" s="134"/>
      <c r="UN58" s="134"/>
      <c r="UO58" s="134"/>
      <c r="UP58" s="134"/>
      <c r="UQ58" s="134"/>
      <c r="UR58" s="172"/>
      <c r="US58" s="134"/>
      <c r="UT58" s="134"/>
      <c r="UU58" s="134"/>
      <c r="UV58" s="134"/>
      <c r="UW58" s="134"/>
      <c r="UX58" s="134"/>
      <c r="UY58" s="134"/>
      <c r="UZ58" s="134"/>
      <c r="VA58" s="134"/>
      <c r="VB58" s="134"/>
      <c r="VC58" s="134"/>
      <c r="VD58" s="134"/>
      <c r="VE58" s="134"/>
      <c r="VF58" s="134"/>
      <c r="VG58" s="134"/>
      <c r="VH58" s="134"/>
      <c r="VI58" s="134"/>
      <c r="VJ58" s="134"/>
      <c r="VK58" s="134"/>
      <c r="VL58" s="134"/>
      <c r="VM58" s="134"/>
      <c r="VN58" s="134"/>
      <c r="VO58" s="134"/>
      <c r="VP58" s="134"/>
      <c r="VQ58" s="134"/>
      <c r="VR58" s="134"/>
      <c r="VS58" s="134"/>
      <c r="VT58" s="134"/>
      <c r="VU58" s="134"/>
      <c r="VV58" s="134"/>
      <c r="VW58" s="134"/>
      <c r="VX58" s="134"/>
      <c r="VY58" s="134"/>
      <c r="VZ58" s="134"/>
      <c r="WA58" s="134"/>
      <c r="WB58" s="134"/>
      <c r="WC58" s="134"/>
      <c r="WD58" s="134"/>
      <c r="WE58" s="134"/>
      <c r="WF58" s="134"/>
      <c r="WG58" s="134"/>
      <c r="WH58" s="134"/>
      <c r="WI58" s="134"/>
      <c r="WJ58" s="134">
        <f t="shared" ref="WJ58:WJ64" si="6">ABG58-ABH58</f>
        <v>1034.4769312000008</v>
      </c>
      <c r="WK58" s="134"/>
      <c r="WL58" s="134"/>
      <c r="WM58" s="134"/>
      <c r="WN58" s="134"/>
      <c r="WO58" s="134"/>
      <c r="WP58" s="134"/>
      <c r="WQ58" s="134"/>
      <c r="WR58" s="134"/>
      <c r="WS58" s="134"/>
      <c r="WT58" s="134"/>
      <c r="WU58" s="134"/>
      <c r="WV58" s="134"/>
      <c r="WW58" s="134"/>
      <c r="WX58" s="134"/>
      <c r="WY58" s="134"/>
      <c r="WZ58" s="134"/>
      <c r="XA58" s="134"/>
      <c r="XB58" s="134"/>
      <c r="XC58" s="134"/>
      <c r="XD58" s="134"/>
      <c r="XE58" s="134"/>
      <c r="XF58" s="134"/>
      <c r="XG58" s="134"/>
      <c r="XH58" s="134"/>
      <c r="XI58" s="134"/>
      <c r="XJ58" s="134"/>
      <c r="XK58" s="134"/>
      <c r="XL58" s="134"/>
      <c r="XM58" s="134"/>
      <c r="XN58" s="134"/>
      <c r="XO58" s="134"/>
      <c r="XP58" s="134"/>
      <c r="XQ58" s="134"/>
      <c r="XR58" s="134"/>
      <c r="XS58" s="134"/>
      <c r="XT58" s="134"/>
      <c r="XU58" s="134"/>
      <c r="XV58" s="134"/>
      <c r="XW58" s="134"/>
      <c r="XX58" s="134"/>
      <c r="XY58" s="134"/>
      <c r="XZ58" s="134"/>
      <c r="YA58" s="134"/>
      <c r="YB58" s="134"/>
      <c r="YC58" s="134"/>
      <c r="YD58" s="134"/>
      <c r="YE58" s="134"/>
      <c r="YF58" s="134"/>
      <c r="YG58" s="134"/>
      <c r="YH58" s="134"/>
      <c r="YI58" s="134"/>
      <c r="YJ58" s="134"/>
      <c r="YK58" s="134"/>
      <c r="YL58" s="134"/>
      <c r="YM58" s="134"/>
      <c r="YN58" s="134"/>
      <c r="YO58" s="134"/>
      <c r="YP58" s="134"/>
      <c r="YQ58" s="134"/>
      <c r="YR58" s="134"/>
      <c r="YS58" s="134"/>
      <c r="YT58" s="134"/>
      <c r="YU58" s="134"/>
      <c r="YV58" s="134"/>
      <c r="YW58" s="134"/>
      <c r="YX58" s="134"/>
      <c r="YY58" s="134"/>
      <c r="YZ58" s="134"/>
      <c r="ZA58" s="134"/>
      <c r="ZB58" s="134"/>
      <c r="ZC58" s="134"/>
      <c r="ZD58" s="134"/>
      <c r="ZE58" s="134"/>
      <c r="ZF58" s="134"/>
      <c r="ZG58" s="134"/>
      <c r="ZH58" s="134"/>
      <c r="ZI58" s="134"/>
      <c r="ZJ58" s="134"/>
      <c r="ZK58" s="134"/>
      <c r="ZL58" s="134"/>
      <c r="ZM58" s="134"/>
      <c r="ZN58" s="134"/>
      <c r="ZO58" s="134"/>
      <c r="ZP58" s="134"/>
      <c r="ZQ58" s="134"/>
      <c r="ZR58" s="134"/>
      <c r="ZS58" s="134"/>
      <c r="ZT58" s="134"/>
      <c r="ZU58" s="134"/>
      <c r="ZV58" s="134"/>
      <c r="ZW58" s="134"/>
      <c r="ZX58" s="134"/>
      <c r="ZY58" s="134"/>
      <c r="ZZ58" s="134"/>
      <c r="AAA58" s="134"/>
      <c r="AAB58" s="134"/>
      <c r="AAC58" s="134"/>
      <c r="AAD58" s="134"/>
      <c r="AAE58" s="134"/>
      <c r="AAF58" s="134"/>
      <c r="AAG58" s="134"/>
      <c r="AAH58" s="134"/>
      <c r="AAI58" s="134"/>
      <c r="AAJ58" s="134"/>
      <c r="AAK58" s="134"/>
      <c r="AAL58" s="134"/>
      <c r="AAM58" s="134"/>
      <c r="AAN58" s="134"/>
      <c r="AAO58" s="134"/>
      <c r="AAP58" s="134"/>
      <c r="AAQ58" s="134"/>
      <c r="AAR58" s="134"/>
      <c r="AAS58" s="134"/>
      <c r="AAT58" s="134"/>
      <c r="AAU58" s="134"/>
      <c r="AAV58" s="134"/>
      <c r="AAW58" s="134"/>
      <c r="AAX58" s="134"/>
      <c r="AAY58" s="134"/>
      <c r="AAZ58" s="134"/>
      <c r="ABA58" s="134"/>
      <c r="ABB58" s="134"/>
      <c r="ABC58" s="134"/>
      <c r="ABD58" s="134"/>
      <c r="ABE58" s="160" t="s">
        <v>63</v>
      </c>
      <c r="ABF58" s="159" t="str">
        <f t="shared" ref="ABF58:ABG63" si="7">ABM2</f>
        <v>CBM</v>
      </c>
      <c r="ABG58" s="167">
        <f t="shared" si="7"/>
        <v>9500</v>
      </c>
      <c r="ABH58" s="158">
        <f t="shared" ref="ABH58:ABH64" si="8">ABG2</f>
        <v>8465.5230687999992</v>
      </c>
      <c r="ABI58" s="158">
        <f t="shared" ref="ABI58:ABI64" si="9">IF(ABU58&gt;0,ABU58,"0")</f>
        <v>1034.4769312000008</v>
      </c>
      <c r="ABJ58" s="158">
        <f>IF(ABI58&lt;(ABG58*ABJ54),ABI58,(ABG58*ABJ54))</f>
        <v>665.00000000000011</v>
      </c>
      <c r="ABK58" s="158">
        <f>IF(ABT58&gt;0,ABT58,"0")</f>
        <v>369.47693120000065</v>
      </c>
      <c r="ABL58" s="168">
        <f t="shared" ref="ABL58:ABL64" si="10">ABK58*ABZ58/30.5</f>
        <v>35372.873413245965</v>
      </c>
      <c r="ABM58" s="171">
        <f t="shared" ref="ABM58:ABM64" si="11">ABK58*ACA58/30.5</f>
        <v>6456.7607976918152</v>
      </c>
      <c r="ABN58" s="70" t="s">
        <v>163</v>
      </c>
      <c r="ABP58" s="71"/>
      <c r="ABT58" s="199">
        <f t="shared" ref="ABT58:ABT64" si="12">ABI58-ABJ58</f>
        <v>369.47693120000065</v>
      </c>
      <c r="ABU58" s="147">
        <f t="shared" ref="ABU58:ABU64" si="13">ABG58-ABH58</f>
        <v>1034.4769312000008</v>
      </c>
      <c r="ABY58" s="151" t="s">
        <v>63</v>
      </c>
      <c r="ABZ58" s="154">
        <v>2920</v>
      </c>
      <c r="ACA58" s="157">
        <v>533</v>
      </c>
    </row>
    <row r="59" spans="504:764" ht="28.5" customHeight="1" thickBot="1" x14ac:dyDescent="0.3">
      <c r="SJ59" s="134"/>
      <c r="ST59" s="134"/>
      <c r="SV59" s="134"/>
      <c r="SW59" s="134"/>
      <c r="SX59" s="134"/>
      <c r="SY59" s="134"/>
      <c r="SZ59" s="134"/>
      <c r="TA59" s="134"/>
      <c r="TB59" s="134"/>
      <c r="TC59" s="134"/>
      <c r="TD59" s="134"/>
      <c r="TE59" s="134"/>
      <c r="TF59" s="134"/>
      <c r="TG59" s="134"/>
      <c r="TH59" s="134"/>
      <c r="TI59" s="134"/>
      <c r="TJ59" s="134"/>
      <c r="TK59" s="134"/>
      <c r="TL59" s="134"/>
      <c r="TM59" s="134"/>
      <c r="TN59" s="134"/>
      <c r="TO59" s="134"/>
      <c r="TP59" s="134"/>
      <c r="TQ59" s="134"/>
      <c r="TR59" s="134"/>
      <c r="TS59" s="134"/>
      <c r="TT59" s="134"/>
      <c r="TU59" s="134"/>
      <c r="TV59" s="134"/>
      <c r="TW59" s="134"/>
      <c r="TX59" s="134"/>
      <c r="TY59" s="134"/>
      <c r="TZ59" s="134"/>
      <c r="UA59" s="134"/>
      <c r="UB59" s="134"/>
      <c r="UC59" s="134"/>
      <c r="UD59" s="134"/>
      <c r="UE59" s="134"/>
      <c r="UF59" s="134"/>
      <c r="UG59" s="134"/>
      <c r="UH59" s="134"/>
      <c r="UI59" s="134"/>
      <c r="UJ59" s="134"/>
      <c r="UK59" s="134"/>
      <c r="UL59" s="134"/>
      <c r="UM59" s="134"/>
      <c r="UN59" s="134"/>
      <c r="UO59" s="134"/>
      <c r="UP59" s="134"/>
      <c r="UQ59" s="134"/>
      <c r="UR59" s="172"/>
      <c r="US59" s="134"/>
      <c r="UT59" s="134"/>
      <c r="UU59" s="134"/>
      <c r="UV59" s="134"/>
      <c r="UW59" s="134"/>
      <c r="UX59" s="134"/>
      <c r="UY59" s="134"/>
      <c r="UZ59" s="134"/>
      <c r="VA59" s="134"/>
      <c r="VB59" s="134"/>
      <c r="VC59" s="134"/>
      <c r="VD59" s="134"/>
      <c r="VE59" s="134"/>
      <c r="VF59" s="134"/>
      <c r="VG59" s="134"/>
      <c r="VH59" s="134"/>
      <c r="VI59" s="134"/>
      <c r="VJ59" s="134"/>
      <c r="VK59" s="134"/>
      <c r="VL59" s="134"/>
      <c r="VM59" s="134"/>
      <c r="VN59" s="134"/>
      <c r="VO59" s="134"/>
      <c r="VP59" s="134"/>
      <c r="VQ59" s="134"/>
      <c r="VR59" s="134"/>
      <c r="VS59" s="134"/>
      <c r="VT59" s="134"/>
      <c r="VU59" s="134"/>
      <c r="VV59" s="134"/>
      <c r="VW59" s="134"/>
      <c r="VX59" s="134"/>
      <c r="VY59" s="134"/>
      <c r="VZ59" s="134"/>
      <c r="WA59" s="134"/>
      <c r="WB59" s="134"/>
      <c r="WC59" s="134"/>
      <c r="WD59" s="134"/>
      <c r="WE59" s="134"/>
      <c r="WF59" s="134"/>
      <c r="WG59" s="134"/>
      <c r="WH59" s="134"/>
      <c r="WI59" s="134"/>
      <c r="WJ59" s="134"/>
      <c r="WK59" s="134"/>
      <c r="WL59" s="134"/>
      <c r="WM59" s="134"/>
      <c r="WN59" s="134"/>
      <c r="WO59" s="134"/>
      <c r="WP59" s="134"/>
      <c r="WQ59" s="134"/>
      <c r="WR59" s="134"/>
      <c r="WS59" s="134"/>
      <c r="WT59" s="134"/>
      <c r="WU59" s="134"/>
      <c r="WV59" s="134"/>
      <c r="WW59" s="134"/>
      <c r="WX59" s="134"/>
      <c r="WY59" s="134"/>
      <c r="WZ59" s="134"/>
      <c r="XA59" s="134"/>
      <c r="XB59" s="134"/>
      <c r="XC59" s="134"/>
      <c r="XD59" s="134"/>
      <c r="XE59" s="134"/>
      <c r="XF59" s="134"/>
      <c r="XG59" s="134"/>
      <c r="XH59" s="134"/>
      <c r="XI59" s="134"/>
      <c r="XJ59" s="134"/>
      <c r="XK59" s="134"/>
      <c r="XL59" s="134"/>
      <c r="XM59" s="134"/>
      <c r="XN59" s="134"/>
      <c r="XO59" s="134"/>
      <c r="XP59" s="134"/>
      <c r="XQ59" s="134"/>
      <c r="XR59" s="134"/>
      <c r="XS59" s="134"/>
      <c r="XT59" s="134"/>
      <c r="XU59" s="134"/>
      <c r="XV59" s="134"/>
      <c r="XW59" s="134"/>
      <c r="XX59" s="134"/>
      <c r="XY59" s="134"/>
      <c r="XZ59" s="134"/>
      <c r="YA59" s="134"/>
      <c r="YB59" s="134"/>
      <c r="YC59" s="134"/>
      <c r="YD59" s="134"/>
      <c r="YE59" s="134"/>
      <c r="YF59" s="134"/>
      <c r="YG59" s="134"/>
      <c r="YH59" s="134"/>
      <c r="YI59" s="134"/>
      <c r="YJ59" s="134"/>
      <c r="YK59" s="134"/>
      <c r="YL59" s="134"/>
      <c r="YM59" s="134"/>
      <c r="YN59" s="134"/>
      <c r="YO59" s="134"/>
      <c r="YP59" s="134"/>
      <c r="YQ59" s="134"/>
      <c r="YR59" s="134"/>
      <c r="YS59" s="134"/>
      <c r="YT59" s="134"/>
      <c r="YU59" s="134"/>
      <c r="YV59" s="134"/>
      <c r="YW59" s="134"/>
      <c r="YX59" s="134"/>
      <c r="YY59" s="134"/>
      <c r="YZ59" s="134"/>
      <c r="ZA59" s="134"/>
      <c r="ZB59" s="134"/>
      <c r="ZC59" s="134"/>
      <c r="ZD59" s="134"/>
      <c r="ZE59" s="134"/>
      <c r="ZF59" s="134"/>
      <c r="ZG59" s="134"/>
      <c r="ZH59" s="134"/>
      <c r="ZI59" s="134"/>
      <c r="ZJ59" s="134"/>
      <c r="ZK59" s="134"/>
      <c r="ZL59" s="134"/>
      <c r="ZM59" s="134"/>
      <c r="ZN59" s="134"/>
      <c r="ZO59" s="134"/>
      <c r="ZP59" s="134"/>
      <c r="ZQ59" s="134"/>
      <c r="ZR59" s="134"/>
      <c r="ZS59" s="134"/>
      <c r="ZT59" s="134"/>
      <c r="ZU59" s="134"/>
      <c r="ZV59" s="134"/>
      <c r="ZW59" s="134"/>
      <c r="ZX59" s="134"/>
      <c r="ZY59" s="134"/>
      <c r="ZZ59" s="134"/>
      <c r="AAA59" s="134"/>
      <c r="AAB59" s="134"/>
      <c r="AAC59" s="134"/>
      <c r="AAD59" s="134"/>
      <c r="AAE59" s="134"/>
      <c r="AAF59" s="134"/>
      <c r="AAG59" s="134"/>
      <c r="AAH59" s="134"/>
      <c r="AAI59" s="134"/>
      <c r="AAJ59" s="134"/>
      <c r="AAK59" s="134"/>
      <c r="AAL59" s="134"/>
      <c r="AAM59" s="134"/>
      <c r="AAN59" s="134"/>
      <c r="AAO59" s="134"/>
      <c r="AAP59" s="134"/>
      <c r="AAQ59" s="134"/>
      <c r="AAR59" s="134"/>
      <c r="AAS59" s="134"/>
      <c r="AAT59" s="134"/>
      <c r="AAU59" s="134"/>
      <c r="AAV59" s="134"/>
      <c r="AAW59" s="134"/>
      <c r="AAX59" s="134"/>
      <c r="AAY59" s="134"/>
      <c r="AAZ59" s="134"/>
      <c r="ABA59" s="134"/>
      <c r="ABB59" s="134"/>
      <c r="ABC59" s="134"/>
      <c r="ABD59" s="134"/>
      <c r="ABE59" s="160" t="s">
        <v>68</v>
      </c>
      <c r="ABF59" s="159" t="str">
        <f t="shared" si="7"/>
        <v>CBM</v>
      </c>
      <c r="ABG59" s="167">
        <f t="shared" si="7"/>
        <v>100</v>
      </c>
      <c r="ABH59" s="158">
        <f t="shared" si="8"/>
        <v>11.413231199999945</v>
      </c>
      <c r="ABI59" s="158">
        <f t="shared" si="9"/>
        <v>88.586768800000058</v>
      </c>
      <c r="ABJ59" s="158">
        <f>IF(ABI59&lt;(ABG59*ABJ55),ABI59,(ABG59*ABJ55))</f>
        <v>3</v>
      </c>
      <c r="ABK59" s="158">
        <f t="shared" ref="ABK59:ABK64" si="14">IF(ABT59&gt;0,ABT59,"0")</f>
        <v>85.586768800000058</v>
      </c>
      <c r="ABL59" s="168">
        <f t="shared" si="10"/>
        <v>8193.8808162623009</v>
      </c>
      <c r="ABM59" s="171">
        <f t="shared" si="11"/>
        <v>1495.6638613245914</v>
      </c>
      <c r="ABN59" s="70"/>
      <c r="ABP59" s="71"/>
      <c r="ABT59" s="199">
        <f t="shared" si="12"/>
        <v>85.586768800000058</v>
      </c>
      <c r="ABU59" s="147">
        <f t="shared" si="13"/>
        <v>88.586768800000058</v>
      </c>
      <c r="ABY59" s="151" t="s">
        <v>63</v>
      </c>
      <c r="ABZ59" s="154">
        <v>2920</v>
      </c>
      <c r="ACA59" s="157">
        <v>533</v>
      </c>
    </row>
    <row r="60" spans="504:764" ht="15.75" thickBot="1" x14ac:dyDescent="0.3">
      <c r="SJ60" s="134"/>
      <c r="SV60" s="134"/>
      <c r="SW60" s="134"/>
      <c r="SX60" s="134"/>
      <c r="SY60" s="134"/>
      <c r="SZ60" s="134"/>
      <c r="TA60" s="134"/>
      <c r="TB60" s="134"/>
      <c r="TC60" s="134"/>
      <c r="TD60" s="134"/>
      <c r="TE60" s="134"/>
      <c r="TF60" s="134"/>
      <c r="TG60" s="134"/>
      <c r="TH60" s="134"/>
      <c r="TI60" s="134"/>
      <c r="TJ60" s="134"/>
      <c r="TK60" s="134"/>
      <c r="TL60" s="134"/>
      <c r="TM60" s="134"/>
      <c r="TN60" s="134"/>
      <c r="TO60" s="134"/>
      <c r="TP60" s="134"/>
      <c r="TQ60" s="134"/>
      <c r="TR60" s="134"/>
      <c r="TS60" s="134"/>
      <c r="TT60" s="134"/>
      <c r="TU60" s="134"/>
      <c r="TV60" s="134"/>
      <c r="TW60" s="134"/>
      <c r="TX60" s="134"/>
      <c r="TY60" s="134"/>
      <c r="TZ60" s="134"/>
      <c r="UA60" s="134"/>
      <c r="UB60" s="134"/>
      <c r="UC60" s="134"/>
      <c r="UD60" s="134"/>
      <c r="UE60" s="134"/>
      <c r="UF60" s="134"/>
      <c r="UG60" s="134"/>
      <c r="UH60" s="134"/>
      <c r="UI60" s="134"/>
      <c r="UJ60" s="134"/>
      <c r="UK60" s="134"/>
      <c r="UL60" s="134"/>
      <c r="UM60" s="134"/>
      <c r="UN60" s="134"/>
      <c r="UO60" s="134"/>
      <c r="UP60" s="134"/>
      <c r="UQ60" s="134"/>
      <c r="UR60" s="134"/>
      <c r="US60" s="134"/>
      <c r="UT60" s="134"/>
      <c r="UU60" s="134"/>
      <c r="UV60" s="134"/>
      <c r="UW60" s="134"/>
      <c r="UX60" s="134"/>
      <c r="UY60" s="134"/>
      <c r="UZ60" s="134"/>
      <c r="VA60" s="134"/>
      <c r="VB60" s="134"/>
      <c r="VC60" s="134"/>
      <c r="VD60" s="134"/>
      <c r="VE60" s="134"/>
      <c r="VF60" s="134"/>
      <c r="VG60" s="134"/>
      <c r="VH60" s="134"/>
      <c r="VI60" s="134"/>
      <c r="VJ60" s="134"/>
      <c r="VK60" s="134"/>
      <c r="VL60" s="134"/>
      <c r="VM60" s="134"/>
      <c r="VN60" s="134"/>
      <c r="VO60" s="134"/>
      <c r="VP60" s="134"/>
      <c r="VQ60" s="134"/>
      <c r="VR60" s="134"/>
      <c r="VS60" s="134"/>
      <c r="VT60" s="134"/>
      <c r="VU60" s="134"/>
      <c r="VV60" s="134"/>
      <c r="VW60" s="134"/>
      <c r="VX60" s="134"/>
      <c r="VY60" s="134"/>
      <c r="VZ60" s="134"/>
      <c r="WA60" s="134"/>
      <c r="WB60" s="134"/>
      <c r="WC60" s="134"/>
      <c r="WD60" s="134"/>
      <c r="WE60" s="134"/>
      <c r="WF60" s="134"/>
      <c r="WG60" s="134"/>
      <c r="WH60" s="134"/>
      <c r="WI60" s="134"/>
      <c r="WJ60" s="134">
        <f t="shared" si="6"/>
        <v>-542.29399999999987</v>
      </c>
      <c r="WK60" s="134"/>
      <c r="WL60" s="134"/>
      <c r="WM60" s="134"/>
      <c r="WN60" s="134"/>
      <c r="WO60" s="134"/>
      <c r="WP60" s="134"/>
      <c r="WQ60" s="134"/>
      <c r="WR60" s="134"/>
      <c r="WS60" s="134"/>
      <c r="WT60" s="134"/>
      <c r="WU60" s="134"/>
      <c r="WV60" s="134"/>
      <c r="WW60" s="134"/>
      <c r="WX60" s="134"/>
      <c r="WY60" s="134"/>
      <c r="WZ60" s="134"/>
      <c r="XA60" s="134"/>
      <c r="XB60" s="134"/>
      <c r="XC60" s="134"/>
      <c r="XD60" s="134"/>
      <c r="XE60" s="134"/>
      <c r="XF60" s="134"/>
      <c r="XG60" s="134"/>
      <c r="XH60" s="134"/>
      <c r="XI60" s="134"/>
      <c r="XJ60" s="134"/>
      <c r="XK60" s="134"/>
      <c r="XL60" s="134"/>
      <c r="XM60" s="134"/>
      <c r="XN60" s="134"/>
      <c r="XO60" s="134"/>
      <c r="XP60" s="134"/>
      <c r="XQ60" s="134"/>
      <c r="XR60" s="134"/>
      <c r="XS60" s="134"/>
      <c r="XT60" s="134"/>
      <c r="XU60" s="134"/>
      <c r="XV60" s="134"/>
      <c r="XW60" s="134"/>
      <c r="XX60" s="134"/>
      <c r="XY60" s="134"/>
      <c r="XZ60" s="134"/>
      <c r="YA60" s="134"/>
      <c r="YB60" s="134"/>
      <c r="YC60" s="134"/>
      <c r="YD60" s="134"/>
      <c r="YE60" s="134"/>
      <c r="YF60" s="134"/>
      <c r="YG60" s="134"/>
      <c r="YH60" s="134"/>
      <c r="YI60" s="134"/>
      <c r="YJ60" s="134"/>
      <c r="YK60" s="134"/>
      <c r="YL60" s="134"/>
      <c r="YM60" s="134"/>
      <c r="YN60" s="134"/>
      <c r="YO60" s="134"/>
      <c r="YP60" s="134"/>
      <c r="YQ60" s="134"/>
      <c r="YR60" s="134"/>
      <c r="YS60" s="134"/>
      <c r="YT60" s="134"/>
      <c r="YU60" s="134"/>
      <c r="YV60" s="134"/>
      <c r="YW60" s="134"/>
      <c r="YX60" s="134"/>
      <c r="YY60" s="134"/>
      <c r="YZ60" s="134"/>
      <c r="ZA60" s="134"/>
      <c r="ZB60" s="134"/>
      <c r="ZC60" s="134"/>
      <c r="ZD60" s="134"/>
      <c r="ZE60" s="134"/>
      <c r="ZF60" s="134"/>
      <c r="ZG60" s="134"/>
      <c r="ZH60" s="134"/>
      <c r="ZI60" s="134"/>
      <c r="ZJ60" s="134"/>
      <c r="ZK60" s="134"/>
      <c r="ZL60" s="134"/>
      <c r="ZM60" s="134"/>
      <c r="ZN60" s="134"/>
      <c r="ZO60" s="134"/>
      <c r="ZP60" s="134"/>
      <c r="ZQ60" s="134"/>
      <c r="ZR60" s="134"/>
      <c r="ZS60" s="134"/>
      <c r="ZT60" s="134"/>
      <c r="ZU60" s="134"/>
      <c r="ZV60" s="134"/>
      <c r="ZW60" s="134"/>
      <c r="ZX60" s="134"/>
      <c r="ZY60" s="134"/>
      <c r="ZZ60" s="134"/>
      <c r="AAA60" s="134"/>
      <c r="AAB60" s="134"/>
      <c r="AAC60" s="134"/>
      <c r="AAD60" s="134"/>
      <c r="AAE60" s="134"/>
      <c r="AAF60" s="134"/>
      <c r="AAG60" s="134"/>
      <c r="AAH60" s="134"/>
      <c r="AAI60" s="134"/>
      <c r="AAJ60" s="134"/>
      <c r="AAK60" s="134"/>
      <c r="AAL60" s="134"/>
      <c r="AAM60" s="134"/>
      <c r="AAN60" s="134"/>
      <c r="AAO60" s="134"/>
      <c r="AAP60" s="134"/>
      <c r="AAQ60" s="134"/>
      <c r="AAR60" s="134"/>
      <c r="AAS60" s="134"/>
      <c r="AAT60" s="134"/>
      <c r="AAU60" s="134"/>
      <c r="AAV60" s="134"/>
      <c r="AAW60" s="134"/>
      <c r="AAX60" s="134"/>
      <c r="AAY60" s="134"/>
      <c r="AAZ60" s="134"/>
      <c r="ABA60" s="134"/>
      <c r="ABB60" s="134"/>
      <c r="ABC60" s="134"/>
      <c r="ABD60" s="134"/>
      <c r="ABE60" s="160" t="s">
        <v>64</v>
      </c>
      <c r="ABF60" s="159" t="str">
        <f t="shared" si="7"/>
        <v>CBM</v>
      </c>
      <c r="ABG60" s="167">
        <f t="shared" si="7"/>
        <v>10250</v>
      </c>
      <c r="ABH60" s="158">
        <f t="shared" si="8"/>
        <v>10792.294</v>
      </c>
      <c r="ABI60" s="158" t="str">
        <f t="shared" si="9"/>
        <v>0</v>
      </c>
      <c r="ABJ60" s="158">
        <f>IF(ABI60&lt;(ABG60*ABJ55),ABI60,(ABG60*ABJ55))</f>
        <v>307.5</v>
      </c>
      <c r="ABK60" s="158" t="str">
        <f t="shared" si="14"/>
        <v>0</v>
      </c>
      <c r="ABL60" s="168">
        <f t="shared" si="10"/>
        <v>0</v>
      </c>
      <c r="ABM60" s="169">
        <f t="shared" si="11"/>
        <v>0</v>
      </c>
      <c r="ABN60" s="70" t="s">
        <v>116</v>
      </c>
      <c r="ABT60" s="147">
        <f t="shared" si="12"/>
        <v>-307.5</v>
      </c>
      <c r="ABU60" s="147">
        <f t="shared" si="13"/>
        <v>-542.29399999999987</v>
      </c>
      <c r="ABY60" s="152" t="s">
        <v>64</v>
      </c>
      <c r="ABZ60" s="155">
        <v>2492</v>
      </c>
      <c r="ACA60" s="35">
        <v>620</v>
      </c>
    </row>
    <row r="61" spans="504:764" ht="30.75" thickBot="1" x14ac:dyDescent="0.3">
      <c r="SJ61" s="134">
        <f>9500*7/100</f>
        <v>665</v>
      </c>
      <c r="SV61" s="134"/>
      <c r="SW61" s="134"/>
      <c r="SX61" s="134"/>
      <c r="SY61" s="134"/>
      <c r="SZ61" s="134"/>
      <c r="TA61" s="134"/>
      <c r="TB61" s="134"/>
      <c r="TC61" s="134"/>
      <c r="TD61" s="134"/>
      <c r="TE61" s="134"/>
      <c r="TF61" s="134"/>
      <c r="TG61" s="134"/>
      <c r="TH61" s="134"/>
      <c r="TI61" s="134"/>
      <c r="TJ61" s="134"/>
      <c r="TK61" s="134"/>
      <c r="TL61" s="134"/>
      <c r="TM61" s="134"/>
      <c r="TN61" s="134"/>
      <c r="TO61" s="134"/>
      <c r="TP61" s="134"/>
      <c r="TQ61" s="134"/>
      <c r="TR61" s="134"/>
      <c r="TS61" s="134"/>
      <c r="TT61" s="134"/>
      <c r="TU61" s="134"/>
      <c r="TV61" s="134"/>
      <c r="TW61" s="134"/>
      <c r="TX61" s="134"/>
      <c r="TY61" s="134"/>
      <c r="TZ61" s="134"/>
      <c r="UA61" s="134"/>
      <c r="UB61" s="134"/>
      <c r="UC61" s="134"/>
      <c r="UD61" s="134"/>
      <c r="UE61" s="134"/>
      <c r="UF61" s="134"/>
      <c r="UG61" s="134"/>
      <c r="UH61" s="134"/>
      <c r="UI61" s="134"/>
      <c r="UJ61" s="134"/>
      <c r="UK61" s="134"/>
      <c r="UL61" s="134"/>
      <c r="UM61" s="134"/>
      <c r="UN61" s="134"/>
      <c r="UO61" s="134"/>
      <c r="UP61" s="134"/>
      <c r="UQ61" s="134"/>
      <c r="UR61" s="134"/>
      <c r="US61" s="134"/>
      <c r="UT61" s="134"/>
      <c r="UU61" s="134"/>
      <c r="UV61" s="134"/>
      <c r="UW61" s="134"/>
      <c r="UX61" s="134"/>
      <c r="UY61" s="134"/>
      <c r="UZ61" s="134"/>
      <c r="VA61" s="134"/>
      <c r="VB61" s="134"/>
      <c r="VC61" s="134"/>
      <c r="VD61" s="134"/>
      <c r="VE61" s="134"/>
      <c r="VF61" s="134"/>
      <c r="VG61" s="134"/>
      <c r="VH61" s="134"/>
      <c r="VI61" s="134"/>
      <c r="VJ61" s="134"/>
      <c r="VK61" s="134"/>
      <c r="VL61" s="134"/>
      <c r="VM61" s="134"/>
      <c r="VN61" s="134"/>
      <c r="VO61" s="134"/>
      <c r="VP61" s="134"/>
      <c r="VQ61" s="134"/>
      <c r="VR61" s="134"/>
      <c r="VS61" s="134"/>
      <c r="VT61" s="134"/>
      <c r="VU61" s="134"/>
      <c r="VV61" s="134"/>
      <c r="VW61" s="134"/>
      <c r="VX61" s="134"/>
      <c r="VY61" s="134"/>
      <c r="VZ61" s="134"/>
      <c r="WA61" s="134"/>
      <c r="WB61" s="134"/>
      <c r="WC61" s="134"/>
      <c r="WD61" s="134"/>
      <c r="WE61" s="134"/>
      <c r="WF61" s="134"/>
      <c r="WG61" s="134"/>
      <c r="WH61" s="134"/>
      <c r="WI61" s="134"/>
      <c r="WJ61" s="134">
        <f t="shared" si="6"/>
        <v>542.3533000000316</v>
      </c>
      <c r="WK61" s="134"/>
      <c r="WL61" s="134"/>
      <c r="WM61" s="134"/>
      <c r="WN61" s="134"/>
      <c r="WO61" s="134"/>
      <c r="WP61" s="134"/>
      <c r="WQ61" s="134"/>
      <c r="WR61" s="134"/>
      <c r="WS61" s="134"/>
      <c r="WT61" s="134"/>
      <c r="WU61" s="134"/>
      <c r="WV61" s="134"/>
      <c r="WW61" s="134"/>
      <c r="WX61" s="134"/>
      <c r="WY61" s="134"/>
      <c r="WZ61" s="134"/>
      <c r="XA61" s="134"/>
      <c r="XB61" s="134"/>
      <c r="XC61" s="134"/>
      <c r="XD61" s="134"/>
      <c r="XE61" s="134"/>
      <c r="XF61" s="134"/>
      <c r="XG61" s="134"/>
      <c r="XH61" s="134"/>
      <c r="XI61" s="134"/>
      <c r="XJ61" s="134"/>
      <c r="XK61" s="134"/>
      <c r="XL61" s="134"/>
      <c r="XM61" s="134"/>
      <c r="XN61" s="134"/>
      <c r="XO61" s="134"/>
      <c r="XP61" s="134"/>
      <c r="XQ61" s="134"/>
      <c r="XR61" s="134"/>
      <c r="XS61" s="134"/>
      <c r="XT61" s="134"/>
      <c r="XU61" s="134"/>
      <c r="XV61" s="134"/>
      <c r="XW61" s="134"/>
      <c r="XX61" s="134"/>
      <c r="XY61" s="134"/>
      <c r="XZ61" s="134"/>
      <c r="YA61" s="134"/>
      <c r="YB61" s="134"/>
      <c r="YC61" s="134"/>
      <c r="YD61" s="134"/>
      <c r="YE61" s="134"/>
      <c r="YF61" s="134"/>
      <c r="YG61" s="134"/>
      <c r="YH61" s="134"/>
      <c r="YI61" s="134"/>
      <c r="YJ61" s="134"/>
      <c r="YK61" s="134"/>
      <c r="YL61" s="134"/>
      <c r="YM61" s="134"/>
      <c r="YN61" s="134"/>
      <c r="YO61" s="134"/>
      <c r="YP61" s="134"/>
      <c r="YQ61" s="134"/>
      <c r="YR61" s="134"/>
      <c r="YS61" s="134"/>
      <c r="YT61" s="134"/>
      <c r="YU61" s="134"/>
      <c r="YV61" s="134"/>
      <c r="YW61" s="134"/>
      <c r="YX61" s="134"/>
      <c r="YY61" s="134"/>
      <c r="YZ61" s="134"/>
      <c r="ZA61" s="134"/>
      <c r="ZB61" s="134"/>
      <c r="ZC61" s="134"/>
      <c r="ZD61" s="134"/>
      <c r="ZE61" s="134"/>
      <c r="ZF61" s="134"/>
      <c r="ZG61" s="134"/>
      <c r="ZH61" s="134"/>
      <c r="ZI61" s="134"/>
      <c r="ZJ61" s="134"/>
      <c r="ZK61" s="134"/>
      <c r="ZL61" s="134"/>
      <c r="ZM61" s="134"/>
      <c r="ZN61" s="134"/>
      <c r="ZO61" s="134"/>
      <c r="ZP61" s="134"/>
      <c r="ZQ61" s="134"/>
      <c r="ZR61" s="134"/>
      <c r="ZS61" s="134"/>
      <c r="ZT61" s="134"/>
      <c r="ZU61" s="134"/>
      <c r="ZV61" s="134"/>
      <c r="ZW61" s="134"/>
      <c r="ZX61" s="134"/>
      <c r="ZY61" s="134"/>
      <c r="ZZ61" s="134"/>
      <c r="AAA61" s="134"/>
      <c r="AAB61" s="134"/>
      <c r="AAC61" s="134"/>
      <c r="AAD61" s="134"/>
      <c r="AAE61" s="134"/>
      <c r="AAF61" s="134"/>
      <c r="AAG61" s="134"/>
      <c r="AAH61" s="134"/>
      <c r="AAI61" s="134"/>
      <c r="AAJ61" s="134"/>
      <c r="AAK61" s="134"/>
      <c r="AAL61" s="134"/>
      <c r="AAM61" s="134"/>
      <c r="AAN61" s="134"/>
      <c r="AAO61" s="134"/>
      <c r="AAP61" s="134"/>
      <c r="AAQ61" s="134"/>
      <c r="AAR61" s="134"/>
      <c r="AAS61" s="134"/>
      <c r="AAT61" s="134"/>
      <c r="AAU61" s="134"/>
      <c r="AAV61" s="134"/>
      <c r="AAW61" s="134"/>
      <c r="AAX61" s="134"/>
      <c r="AAY61" s="134"/>
      <c r="AAZ61" s="134"/>
      <c r="ABA61" s="134"/>
      <c r="ABB61" s="134"/>
      <c r="ABC61" s="134"/>
      <c r="ABD61" s="134"/>
      <c r="ABE61" s="160" t="s">
        <v>65</v>
      </c>
      <c r="ABF61" s="159" t="str">
        <f t="shared" si="7"/>
        <v>CBM</v>
      </c>
      <c r="ABG61" s="167">
        <f t="shared" si="7"/>
        <v>18000</v>
      </c>
      <c r="ABH61" s="158">
        <f t="shared" si="8"/>
        <v>17457.646699999968</v>
      </c>
      <c r="ABI61" s="158">
        <f t="shared" si="9"/>
        <v>542.3533000000316</v>
      </c>
      <c r="ABJ61" s="158">
        <f>IF(ABI61&lt;(ABG61*$ABJ$55),ABI61,(ABG61*$ABJ$55))</f>
        <v>540</v>
      </c>
      <c r="ABK61" s="158">
        <f>IF(ABT61&gt;0,ABT61,"0")</f>
        <v>2.3533000000315951</v>
      </c>
      <c r="ABL61" s="168">
        <f t="shared" si="10"/>
        <v>251.07010492140361</v>
      </c>
      <c r="ABM61" s="169">
        <f t="shared" si="11"/>
        <v>56.787829508959149</v>
      </c>
      <c r="ABN61" s="70" t="s">
        <v>164</v>
      </c>
      <c r="ABT61" s="147">
        <f t="shared" si="12"/>
        <v>2.3533000000315951</v>
      </c>
      <c r="ABU61" s="147">
        <f t="shared" si="13"/>
        <v>542.3533000000316</v>
      </c>
      <c r="ABY61" s="152" t="s">
        <v>65</v>
      </c>
      <c r="ABZ61" s="155">
        <v>3254</v>
      </c>
      <c r="ACA61" s="35">
        <v>736</v>
      </c>
      <c r="ACC61" s="115" t="s">
        <v>165</v>
      </c>
      <c r="ACD61" s="116" t="s">
        <v>166</v>
      </c>
      <c r="ACE61" t="s">
        <v>167</v>
      </c>
      <c r="ACF61" s="117" t="s">
        <v>168</v>
      </c>
      <c r="ACG61" s="73" t="s">
        <v>169</v>
      </c>
      <c r="ACH61" s="29"/>
      <c r="ACJ61" s="3" t="s">
        <v>170</v>
      </c>
    </row>
    <row r="62" spans="504:764" ht="30.75" thickBot="1" x14ac:dyDescent="0.3">
      <c r="SJ62" s="134"/>
      <c r="SV62" s="134"/>
      <c r="SW62" s="134"/>
      <c r="SX62" s="134"/>
      <c r="SY62" s="134"/>
      <c r="SZ62" s="134"/>
      <c r="TA62" s="134"/>
      <c r="TB62" s="134"/>
      <c r="TC62" s="134"/>
      <c r="TD62" s="134"/>
      <c r="TE62" s="134"/>
      <c r="TF62" s="134"/>
      <c r="TG62" s="134"/>
      <c r="TH62" s="134"/>
      <c r="TI62" s="134"/>
      <c r="TJ62" s="134"/>
      <c r="TK62" s="134"/>
      <c r="TL62" s="134"/>
      <c r="TM62" s="134"/>
      <c r="TN62" s="134"/>
      <c r="TO62" s="134"/>
      <c r="TP62" s="134"/>
      <c r="TQ62" s="134"/>
      <c r="TR62" s="134"/>
      <c r="TS62" s="134"/>
      <c r="TT62" s="134"/>
      <c r="TU62" s="134"/>
      <c r="TV62" s="134"/>
      <c r="TW62" s="134"/>
      <c r="TX62" s="134"/>
      <c r="TY62" s="134"/>
      <c r="TZ62" s="134"/>
      <c r="UA62" s="134"/>
      <c r="UB62" s="134"/>
      <c r="UC62" s="134"/>
      <c r="UD62" s="134"/>
      <c r="UE62" s="134"/>
      <c r="UF62" s="134"/>
      <c r="UG62" s="134"/>
      <c r="UH62" s="134"/>
      <c r="UI62" s="134"/>
      <c r="UJ62" s="134"/>
      <c r="UK62" s="134"/>
      <c r="UL62" s="134"/>
      <c r="UM62" s="134"/>
      <c r="UN62" s="134"/>
      <c r="UO62" s="134"/>
      <c r="UP62" s="134"/>
      <c r="UQ62" s="134"/>
      <c r="UR62" s="134"/>
      <c r="US62" s="134"/>
      <c r="UT62" s="134"/>
      <c r="UU62" s="134"/>
      <c r="UV62" s="134"/>
      <c r="UW62" s="134"/>
      <c r="UX62" s="134"/>
      <c r="UY62" s="134"/>
      <c r="UZ62" s="134"/>
      <c r="VA62" s="134"/>
      <c r="VB62" s="134"/>
      <c r="VC62" s="134"/>
      <c r="VD62" s="134"/>
      <c r="VE62" s="134"/>
      <c r="VF62" s="134"/>
      <c r="VG62" s="134"/>
      <c r="VH62" s="134"/>
      <c r="VI62" s="134"/>
      <c r="VJ62" s="134"/>
      <c r="VK62" s="134"/>
      <c r="VL62" s="134"/>
      <c r="VM62" s="134"/>
      <c r="VN62" s="134"/>
      <c r="VO62" s="134"/>
      <c r="VP62" s="134"/>
      <c r="VQ62" s="134"/>
      <c r="VR62" s="134"/>
      <c r="VS62" s="134"/>
      <c r="VT62" s="134"/>
      <c r="VU62" s="134"/>
      <c r="VV62" s="134"/>
      <c r="VW62" s="134"/>
      <c r="VX62" s="134"/>
      <c r="VY62" s="134"/>
      <c r="VZ62" s="134"/>
      <c r="WA62" s="134"/>
      <c r="WB62" s="134"/>
      <c r="WC62" s="134"/>
      <c r="WD62" s="134"/>
      <c r="WE62" s="134"/>
      <c r="WF62" s="134"/>
      <c r="WG62" s="134"/>
      <c r="WH62" s="134"/>
      <c r="WI62" s="134"/>
      <c r="WJ62" s="134">
        <f t="shared" si="6"/>
        <v>860.5923999999701</v>
      </c>
      <c r="WK62" s="134"/>
      <c r="WL62" s="134"/>
      <c r="WM62" s="134"/>
      <c r="WN62" s="134"/>
      <c r="WO62" s="134"/>
      <c r="WP62" s="134"/>
      <c r="WQ62" s="134"/>
      <c r="WR62" s="134"/>
      <c r="WS62" s="134"/>
      <c r="WT62" s="134"/>
      <c r="WU62" s="134"/>
      <c r="WV62" s="134"/>
      <c r="WW62" s="134"/>
      <c r="WX62" s="134"/>
      <c r="WY62" s="134"/>
      <c r="WZ62" s="134"/>
      <c r="XA62" s="134"/>
      <c r="XB62" s="134"/>
      <c r="XC62" s="134"/>
      <c r="XD62" s="134"/>
      <c r="XE62" s="134"/>
      <c r="XF62" s="134"/>
      <c r="XG62" s="134"/>
      <c r="XH62" s="134"/>
      <c r="XI62" s="134"/>
      <c r="XJ62" s="134"/>
      <c r="XK62" s="134"/>
      <c r="XL62" s="134"/>
      <c r="XM62" s="134"/>
      <c r="XN62" s="134"/>
      <c r="XO62" s="134"/>
      <c r="XP62" s="134"/>
      <c r="XQ62" s="134"/>
      <c r="XR62" s="134"/>
      <c r="XS62" s="134"/>
      <c r="XT62" s="134"/>
      <c r="XU62" s="134"/>
      <c r="XV62" s="134"/>
      <c r="XW62" s="134"/>
      <c r="XX62" s="134"/>
      <c r="XY62" s="134"/>
      <c r="XZ62" s="134"/>
      <c r="YA62" s="134"/>
      <c r="YB62" s="134"/>
      <c r="YC62" s="134"/>
      <c r="YD62" s="134"/>
      <c r="YE62" s="134"/>
      <c r="YF62" s="134"/>
      <c r="YG62" s="134"/>
      <c r="YH62" s="134"/>
      <c r="YI62" s="134"/>
      <c r="YJ62" s="134"/>
      <c r="YK62" s="134"/>
      <c r="YL62" s="134"/>
      <c r="YM62" s="134"/>
      <c r="YN62" s="134"/>
      <c r="YO62" s="134"/>
      <c r="YP62" s="134"/>
      <c r="YQ62" s="134"/>
      <c r="YR62" s="134"/>
      <c r="YS62" s="134"/>
      <c r="YT62" s="134"/>
      <c r="YU62" s="134"/>
      <c r="YV62" s="134"/>
      <c r="YW62" s="134"/>
      <c r="YX62" s="134"/>
      <c r="YY62" s="134"/>
      <c r="YZ62" s="134"/>
      <c r="ZA62" s="134"/>
      <c r="ZB62" s="134"/>
      <c r="ZC62" s="134"/>
      <c r="ZD62" s="134"/>
      <c r="ZE62" s="134"/>
      <c r="ZF62" s="134"/>
      <c r="ZG62" s="134"/>
      <c r="ZH62" s="134"/>
      <c r="ZI62" s="134"/>
      <c r="ZJ62" s="134"/>
      <c r="ZK62" s="134"/>
      <c r="ZL62" s="134"/>
      <c r="ZM62" s="134"/>
      <c r="ZN62" s="134"/>
      <c r="ZO62" s="134"/>
      <c r="ZP62" s="134"/>
      <c r="ZQ62" s="134"/>
      <c r="ZR62" s="134"/>
      <c r="ZS62" s="134"/>
      <c r="ZT62" s="134"/>
      <c r="ZU62" s="134"/>
      <c r="ZV62" s="134"/>
      <c r="ZW62" s="134"/>
      <c r="ZX62" s="134"/>
      <c r="ZY62" s="134"/>
      <c r="ZZ62" s="134"/>
      <c r="AAA62" s="134"/>
      <c r="AAB62" s="134"/>
      <c r="AAC62" s="134"/>
      <c r="AAD62" s="134"/>
      <c r="AAE62" s="134"/>
      <c r="AAF62" s="134"/>
      <c r="AAG62" s="134"/>
      <c r="AAH62" s="134"/>
      <c r="AAI62" s="134"/>
      <c r="AAJ62" s="134"/>
      <c r="AAK62" s="134"/>
      <c r="AAL62" s="134"/>
      <c r="AAM62" s="134"/>
      <c r="AAN62" s="134"/>
      <c r="AAO62" s="134"/>
      <c r="AAP62" s="134"/>
      <c r="AAQ62" s="134"/>
      <c r="AAR62" s="134"/>
      <c r="AAS62" s="134"/>
      <c r="AAT62" s="134"/>
      <c r="AAU62" s="134"/>
      <c r="AAV62" s="134"/>
      <c r="AAW62" s="134"/>
      <c r="AAX62" s="134"/>
      <c r="AAY62" s="134"/>
      <c r="AAZ62" s="134"/>
      <c r="ABA62" s="134"/>
      <c r="ABB62" s="134"/>
      <c r="ABC62" s="134"/>
      <c r="ABD62" s="134"/>
      <c r="ABE62" s="160" t="s">
        <v>66</v>
      </c>
      <c r="ABF62" s="159" t="str">
        <f t="shared" si="7"/>
        <v>CBM</v>
      </c>
      <c r="ABG62" s="167">
        <f t="shared" si="7"/>
        <v>1700</v>
      </c>
      <c r="ABH62" s="158">
        <f t="shared" si="8"/>
        <v>839.4076000000299</v>
      </c>
      <c r="ABI62" s="158">
        <f t="shared" si="9"/>
        <v>860.5923999999701</v>
      </c>
      <c r="ABJ62" s="158">
        <f>IF(ABI62&lt;(ABG62*$ABJ$55),ABI62,(ABG62*$ABJ$55))</f>
        <v>51</v>
      </c>
      <c r="ABK62" s="158">
        <f t="shared" si="14"/>
        <v>809.5923999999701</v>
      </c>
      <c r="ABL62" s="168">
        <f t="shared" si="10"/>
        <v>0</v>
      </c>
      <c r="ABM62" s="169">
        <f t="shared" si="11"/>
        <v>0</v>
      </c>
      <c r="ABN62" s="70"/>
      <c r="ABT62" s="147">
        <f t="shared" si="12"/>
        <v>809.5923999999701</v>
      </c>
      <c r="ABU62" s="147">
        <f t="shared" si="13"/>
        <v>860.5923999999701</v>
      </c>
      <c r="ABY62" s="240"/>
      <c r="ABZ62" s="241"/>
      <c r="ACA62" s="242"/>
      <c r="ACC62" s="115"/>
      <c r="ACD62" s="116"/>
      <c r="ACF62" s="117"/>
      <c r="ACG62" s="73"/>
      <c r="ACH62" s="29"/>
      <c r="ACJ62" s="3"/>
    </row>
    <row r="63" spans="504:764" ht="30.75" thickBot="1" x14ac:dyDescent="0.3">
      <c r="SJ63" s="134"/>
      <c r="SV63" s="134"/>
      <c r="SW63" s="134"/>
      <c r="SX63" s="134"/>
      <c r="SY63" s="134"/>
      <c r="SZ63" s="134"/>
      <c r="TA63" s="134"/>
      <c r="TB63" s="134"/>
      <c r="TC63" s="134"/>
      <c r="TD63" s="134"/>
      <c r="TE63" s="134"/>
      <c r="TF63" s="134"/>
      <c r="TG63" s="134"/>
      <c r="TH63" s="134"/>
      <c r="TI63" s="134"/>
      <c r="TJ63" s="134"/>
      <c r="TK63" s="134"/>
      <c r="TL63" s="134"/>
      <c r="TM63" s="134"/>
      <c r="TN63" s="134"/>
      <c r="TO63" s="134"/>
      <c r="TP63" s="134"/>
      <c r="TQ63" s="134"/>
      <c r="TR63" s="134"/>
      <c r="TS63" s="134"/>
      <c r="TT63" s="134"/>
      <c r="TU63" s="134"/>
      <c r="TV63" s="134"/>
      <c r="TW63" s="134"/>
      <c r="TX63" s="134"/>
      <c r="TY63" s="134"/>
      <c r="TZ63" s="134"/>
      <c r="UA63" s="134"/>
      <c r="UB63" s="134"/>
      <c r="UC63" s="134"/>
      <c r="UD63" s="134"/>
      <c r="UE63" s="134"/>
      <c r="UF63" s="134"/>
      <c r="UG63" s="134"/>
      <c r="UH63" s="134"/>
      <c r="UI63" s="134"/>
      <c r="UJ63" s="134"/>
      <c r="UK63" s="134"/>
      <c r="UL63" s="134"/>
      <c r="UM63" s="134"/>
      <c r="UN63" s="134"/>
      <c r="UO63" s="134"/>
      <c r="UP63" s="134"/>
      <c r="UQ63" s="134"/>
      <c r="UR63" s="134"/>
      <c r="US63" s="134"/>
      <c r="UT63" s="134"/>
      <c r="UU63" s="134"/>
      <c r="UV63" s="134"/>
      <c r="UW63" s="134"/>
      <c r="UX63" s="134"/>
      <c r="UY63" s="134"/>
      <c r="UZ63" s="134"/>
      <c r="VA63" s="134"/>
      <c r="VB63" s="134"/>
      <c r="VC63" s="134"/>
      <c r="VD63" s="134"/>
      <c r="VE63" s="134"/>
      <c r="VF63" s="134"/>
      <c r="VG63" s="134"/>
      <c r="VH63" s="134"/>
      <c r="VI63" s="134"/>
      <c r="VJ63" s="134"/>
      <c r="VK63" s="134"/>
      <c r="VL63" s="134"/>
      <c r="VM63" s="134"/>
      <c r="VN63" s="134"/>
      <c r="VO63" s="134"/>
      <c r="VP63" s="134"/>
      <c r="VQ63" s="134"/>
      <c r="VR63" s="134"/>
      <c r="VS63" s="134"/>
      <c r="VT63" s="134"/>
      <c r="VU63" s="134"/>
      <c r="VV63" s="134"/>
      <c r="VW63" s="134"/>
      <c r="VX63" s="134"/>
      <c r="VY63" s="134"/>
      <c r="VZ63" s="134"/>
      <c r="WA63" s="134"/>
      <c r="WB63" s="134"/>
      <c r="WC63" s="134"/>
      <c r="WD63" s="134"/>
      <c r="WE63" s="134"/>
      <c r="WF63" s="134"/>
      <c r="WG63" s="134"/>
      <c r="WH63" s="134"/>
      <c r="WI63" s="134"/>
      <c r="WJ63" s="134">
        <f t="shared" si="6"/>
        <v>246.01510000000007</v>
      </c>
      <c r="WK63" s="134"/>
      <c r="WL63" s="134"/>
      <c r="WM63" s="134"/>
      <c r="WN63" s="134"/>
      <c r="WO63" s="134"/>
      <c r="WP63" s="134"/>
      <c r="WQ63" s="134"/>
      <c r="WR63" s="134"/>
      <c r="WS63" s="134"/>
      <c r="WT63" s="134"/>
      <c r="WU63" s="134"/>
      <c r="WV63" s="134"/>
      <c r="WW63" s="134"/>
      <c r="WX63" s="134"/>
      <c r="WY63" s="134"/>
      <c r="WZ63" s="134"/>
      <c r="XA63" s="134"/>
      <c r="XB63" s="134"/>
      <c r="XC63" s="134"/>
      <c r="XD63" s="134"/>
      <c r="XE63" s="134"/>
      <c r="XF63" s="134"/>
      <c r="XG63" s="134"/>
      <c r="XH63" s="134"/>
      <c r="XI63" s="134"/>
      <c r="XJ63" s="134"/>
      <c r="XK63" s="134"/>
      <c r="XL63" s="134"/>
      <c r="XM63" s="134"/>
      <c r="XN63" s="134"/>
      <c r="XO63" s="134"/>
      <c r="XP63" s="134"/>
      <c r="XQ63" s="134"/>
      <c r="XR63" s="134"/>
      <c r="XS63" s="134"/>
      <c r="XT63" s="134"/>
      <c r="XU63" s="134"/>
      <c r="XV63" s="134"/>
      <c r="XW63" s="134"/>
      <c r="XX63" s="134"/>
      <c r="XY63" s="134"/>
      <c r="XZ63" s="134"/>
      <c r="YA63" s="134"/>
      <c r="YB63" s="134"/>
      <c r="YC63" s="134"/>
      <c r="YD63" s="134"/>
      <c r="YE63" s="134"/>
      <c r="YF63" s="134"/>
      <c r="YG63" s="134"/>
      <c r="YH63" s="134"/>
      <c r="YI63" s="134"/>
      <c r="YJ63" s="134"/>
      <c r="YK63" s="134"/>
      <c r="YL63" s="134"/>
      <c r="YM63" s="134"/>
      <c r="YN63" s="134"/>
      <c r="YO63" s="134"/>
      <c r="YP63" s="134"/>
      <c r="YQ63" s="134"/>
      <c r="YR63" s="134"/>
      <c r="YS63" s="134"/>
      <c r="YT63" s="134"/>
      <c r="YU63" s="134"/>
      <c r="YV63" s="134"/>
      <c r="YW63" s="134"/>
      <c r="YX63" s="134"/>
      <c r="YY63" s="134"/>
      <c r="YZ63" s="134"/>
      <c r="ZA63" s="134"/>
      <c r="ZB63" s="134"/>
      <c r="ZC63" s="134"/>
      <c r="ZD63" s="134"/>
      <c r="ZE63" s="134"/>
      <c r="ZF63" s="134"/>
      <c r="ZG63" s="134"/>
      <c r="ZH63" s="134"/>
      <c r="ZI63" s="134"/>
      <c r="ZJ63" s="134"/>
      <c r="ZK63" s="134"/>
      <c r="ZL63" s="134"/>
      <c r="ZM63" s="134"/>
      <c r="ZN63" s="134"/>
      <c r="ZO63" s="134"/>
      <c r="ZP63" s="134"/>
      <c r="ZQ63" s="134"/>
      <c r="ZR63" s="134"/>
      <c r="ZS63" s="134"/>
      <c r="ZT63" s="134"/>
      <c r="ZU63" s="134"/>
      <c r="ZV63" s="134"/>
      <c r="ZW63" s="134"/>
      <c r="ZX63" s="134"/>
      <c r="ZY63" s="134"/>
      <c r="ZZ63" s="134"/>
      <c r="AAA63" s="134"/>
      <c r="AAB63" s="134"/>
      <c r="AAC63" s="134"/>
      <c r="AAD63" s="134"/>
      <c r="AAE63" s="134"/>
      <c r="AAF63" s="134"/>
      <c r="AAG63" s="134"/>
      <c r="AAH63" s="134"/>
      <c r="AAI63" s="134"/>
      <c r="AAJ63" s="134"/>
      <c r="AAK63" s="134"/>
      <c r="AAL63" s="134"/>
      <c r="AAM63" s="134"/>
      <c r="AAN63" s="134"/>
      <c r="AAO63" s="134"/>
      <c r="AAP63" s="134"/>
      <c r="AAQ63" s="134"/>
      <c r="AAR63" s="134"/>
      <c r="AAS63" s="134"/>
      <c r="AAT63" s="134"/>
      <c r="AAU63" s="134"/>
      <c r="AAV63" s="134"/>
      <c r="AAW63" s="134"/>
      <c r="AAX63" s="134"/>
      <c r="AAY63" s="134"/>
      <c r="AAZ63" s="134"/>
      <c r="ABA63" s="134"/>
      <c r="ABB63" s="134"/>
      <c r="ABC63" s="134"/>
      <c r="ABD63" s="134"/>
      <c r="ABE63" s="160" t="s">
        <v>67</v>
      </c>
      <c r="ABF63" s="159" t="str">
        <f t="shared" si="7"/>
        <v>CBM</v>
      </c>
      <c r="ABG63" s="167">
        <f t="shared" si="7"/>
        <v>4300</v>
      </c>
      <c r="ABH63" s="158">
        <f t="shared" si="8"/>
        <v>4053.9848999999999</v>
      </c>
      <c r="ABI63" s="158">
        <f t="shared" si="9"/>
        <v>246.01510000000007</v>
      </c>
      <c r="ABJ63" s="158">
        <f>IF(ABI63&lt;(ABG63*$ABJ$55),ABI63,(ABG63*$ABJ$55))</f>
        <v>129</v>
      </c>
      <c r="ABK63" s="158">
        <f t="shared" si="14"/>
        <v>117.01510000000007</v>
      </c>
      <c r="ABL63" s="168">
        <f t="shared" si="10"/>
        <v>0</v>
      </c>
      <c r="ABM63" s="169">
        <f t="shared" si="11"/>
        <v>0</v>
      </c>
      <c r="ABN63" s="70"/>
      <c r="ABT63" s="147">
        <f t="shared" si="12"/>
        <v>117.01510000000007</v>
      </c>
      <c r="ABU63" s="147">
        <f t="shared" si="13"/>
        <v>246.01510000000007</v>
      </c>
      <c r="ABY63" s="240"/>
      <c r="ABZ63" s="241"/>
      <c r="ACA63" s="242"/>
      <c r="ACC63" s="115"/>
      <c r="ACD63" s="116"/>
      <c r="ACF63" s="117"/>
      <c r="ACG63" s="73"/>
      <c r="ACH63" s="29"/>
      <c r="ACJ63" s="3"/>
    </row>
    <row r="64" spans="504:764" ht="15.75" thickBot="1" x14ac:dyDescent="0.3">
      <c r="SJ64" s="134">
        <f>18000*7%</f>
        <v>1260.0000000000002</v>
      </c>
      <c r="SV64" s="134"/>
      <c r="SW64" s="134"/>
      <c r="SX64" s="134"/>
      <c r="SY64" s="134"/>
      <c r="SZ64" s="134"/>
      <c r="TA64" s="134"/>
      <c r="TB64" s="134"/>
      <c r="TC64" s="134"/>
      <c r="TD64" s="134"/>
      <c r="TE64" s="134"/>
      <c r="TF64" s="134"/>
      <c r="TG64" s="134"/>
      <c r="TH64" s="134"/>
      <c r="TI64" s="134"/>
      <c r="TJ64" s="134"/>
      <c r="TK64" s="134"/>
      <c r="TL64" s="134"/>
      <c r="TM64" s="134"/>
      <c r="TN64" s="134"/>
      <c r="TO64" s="134"/>
      <c r="TP64" s="134"/>
      <c r="TQ64" s="134"/>
      <c r="TR64" s="134"/>
      <c r="TS64" s="134"/>
      <c r="TT64" s="134"/>
      <c r="TU64" s="134"/>
      <c r="TV64" s="134"/>
      <c r="TW64" s="134"/>
      <c r="TX64" s="134"/>
      <c r="TY64" s="134"/>
      <c r="TZ64" s="134"/>
      <c r="UA64" s="134"/>
      <c r="UB64" s="134"/>
      <c r="UC64" s="134"/>
      <c r="UD64" s="134"/>
      <c r="UE64" s="134"/>
      <c r="UF64" s="134"/>
      <c r="UG64" s="134"/>
      <c r="UH64" s="134"/>
      <c r="UI64" s="134"/>
      <c r="UJ64" s="134"/>
      <c r="UK64" s="134"/>
      <c r="UL64" s="134"/>
      <c r="UM64" s="134"/>
      <c r="UN64" s="134"/>
      <c r="UO64" s="134"/>
      <c r="UP64" s="134"/>
      <c r="UQ64" s="134"/>
      <c r="UR64" s="134"/>
      <c r="US64" s="134"/>
      <c r="UT64" s="134"/>
      <c r="UU64" s="134"/>
      <c r="UV64" s="134"/>
      <c r="UW64" s="134"/>
      <c r="UX64" s="134"/>
      <c r="UY64" s="134"/>
      <c r="UZ64" s="134"/>
      <c r="VA64" s="134"/>
      <c r="VB64" s="134"/>
      <c r="VC64" s="134"/>
      <c r="VD64" s="134"/>
      <c r="VE64" s="134"/>
      <c r="VF64" s="134"/>
      <c r="VG64" s="134"/>
      <c r="VH64" s="134"/>
      <c r="VI64" s="134"/>
      <c r="VJ64" s="134"/>
      <c r="VK64" s="134"/>
      <c r="VL64" s="134"/>
      <c r="VM64" s="134"/>
      <c r="VN64" s="134"/>
      <c r="VO64" s="134"/>
      <c r="VP64" s="134"/>
      <c r="VQ64" s="134"/>
      <c r="VR64" s="134"/>
      <c r="VS64" s="134"/>
      <c r="VT64" s="134"/>
      <c r="VU64" s="134"/>
      <c r="VV64" s="134"/>
      <c r="VW64" s="134"/>
      <c r="VX64" s="134"/>
      <c r="VY64" s="134"/>
      <c r="VZ64" s="134"/>
      <c r="WA64" s="134"/>
      <c r="WB64" s="134"/>
      <c r="WC64" s="134"/>
      <c r="WD64" s="134"/>
      <c r="WE64" s="134"/>
      <c r="WF64" s="134"/>
      <c r="WG64" s="134"/>
      <c r="WH64" s="134"/>
      <c r="WI64" s="134"/>
      <c r="WJ64" s="134">
        <f t="shared" si="6"/>
        <v>19.703999999999724</v>
      </c>
      <c r="WK64" s="134"/>
      <c r="WL64" s="134"/>
      <c r="WM64" s="134"/>
      <c r="WN64" s="134"/>
      <c r="WO64" s="134"/>
      <c r="WP64" s="134"/>
      <c r="WQ64" s="134"/>
      <c r="WR64" s="134"/>
      <c r="WS64" s="134"/>
      <c r="WT64" s="134"/>
      <c r="WU64" s="134"/>
      <c r="WV64" s="134"/>
      <c r="WW64" s="134"/>
      <c r="WX64" s="134"/>
      <c r="WY64" s="134"/>
      <c r="WZ64" s="134"/>
      <c r="XA64" s="134"/>
      <c r="XB64" s="134"/>
      <c r="XC64" s="134"/>
      <c r="XD64" s="134"/>
      <c r="XE64" s="134"/>
      <c r="XF64" s="134"/>
      <c r="XG64" s="134"/>
      <c r="XH64" s="134"/>
      <c r="XI64" s="134"/>
      <c r="XJ64" s="134"/>
      <c r="XK64" s="134"/>
      <c r="XL64" s="134"/>
      <c r="XM64" s="134"/>
      <c r="XN64" s="134"/>
      <c r="XO64" s="134"/>
      <c r="XP64" s="134"/>
      <c r="XQ64" s="134"/>
      <c r="XR64" s="134"/>
      <c r="XS64" s="134"/>
      <c r="XT64" s="134"/>
      <c r="XU64" s="134"/>
      <c r="XV64" s="134"/>
      <c r="XW64" s="134"/>
      <c r="XX64" s="134"/>
      <c r="XY64" s="134"/>
      <c r="XZ64" s="134"/>
      <c r="YA64" s="134"/>
      <c r="YB64" s="134"/>
      <c r="YC64" s="134"/>
      <c r="YD64" s="134"/>
      <c r="YE64" s="134"/>
      <c r="YF64" s="134"/>
      <c r="YG64" s="134"/>
      <c r="YH64" s="134"/>
      <c r="YI64" s="134"/>
      <c r="YJ64" s="134"/>
      <c r="YK64" s="134"/>
      <c r="YL64" s="134"/>
      <c r="YM64" s="134"/>
      <c r="YN64" s="134"/>
      <c r="YO64" s="134"/>
      <c r="YP64" s="134"/>
      <c r="YQ64" s="134"/>
      <c r="YR64" s="134"/>
      <c r="YS64" s="134"/>
      <c r="YT64" s="134"/>
      <c r="YU64" s="134"/>
      <c r="YV64" s="134"/>
      <c r="YW64" s="134"/>
      <c r="YX64" s="134"/>
      <c r="YY64" s="134"/>
      <c r="YZ64" s="134"/>
      <c r="ZA64" s="134"/>
      <c r="ZB64" s="134"/>
      <c r="ZC64" s="134"/>
      <c r="ZD64" s="134"/>
      <c r="ZE64" s="134"/>
      <c r="ZF64" s="134"/>
      <c r="ZG64" s="134"/>
      <c r="ZH64" s="134"/>
      <c r="ZI64" s="134"/>
      <c r="ZJ64" s="134"/>
      <c r="ZK64" s="134"/>
      <c r="ZL64" s="134"/>
      <c r="ZM64" s="134"/>
      <c r="ZN64" s="134"/>
      <c r="ZO64" s="134"/>
      <c r="ZP64" s="134"/>
      <c r="ZQ64" s="134"/>
      <c r="ZR64" s="134"/>
      <c r="ZS64" s="134"/>
      <c r="ZT64" s="134"/>
      <c r="ZU64" s="134"/>
      <c r="ZV64" s="134"/>
      <c r="ZW64" s="134"/>
      <c r="ZX64" s="134"/>
      <c r="ZY64" s="134"/>
      <c r="ZZ64" s="134"/>
      <c r="AAA64" s="134"/>
      <c r="AAB64" s="134"/>
      <c r="AAC64" s="134"/>
      <c r="AAD64" s="134"/>
      <c r="AAE64" s="134"/>
      <c r="AAF64" s="134"/>
      <c r="AAG64" s="134"/>
      <c r="AAH64" s="134"/>
      <c r="AAI64" s="134"/>
      <c r="AAJ64" s="134"/>
      <c r="AAK64" s="134"/>
      <c r="AAL64" s="134"/>
      <c r="AAM64" s="134"/>
      <c r="AAN64" s="134"/>
      <c r="AAO64" s="134"/>
      <c r="AAP64" s="134"/>
      <c r="AAQ64" s="134"/>
      <c r="AAR64" s="134"/>
      <c r="AAS64" s="134"/>
      <c r="AAT64" s="134"/>
      <c r="AAU64" s="134"/>
      <c r="AAV64" s="134"/>
      <c r="AAW64" s="134"/>
      <c r="AAX64" s="134"/>
      <c r="AAY64" s="134"/>
      <c r="AAZ64" s="134"/>
      <c r="ABA64" s="134"/>
      <c r="ABB64" s="134"/>
      <c r="ABC64" s="134"/>
      <c r="ABD64" s="134"/>
      <c r="ABE64" s="160" t="s">
        <v>73</v>
      </c>
      <c r="ABF64" s="159" t="str">
        <f>ABM7</f>
        <v>CBM</v>
      </c>
      <c r="ABG64" s="167">
        <f>ABN8</f>
        <v>7500</v>
      </c>
      <c r="ABH64" s="158">
        <f t="shared" si="8"/>
        <v>7480.2960000000003</v>
      </c>
      <c r="ABI64" s="158">
        <f t="shared" si="9"/>
        <v>19.703999999999724</v>
      </c>
      <c r="ABJ64" s="158">
        <f>IF(ABI64&lt;(ABG64*$ABJ$55),ABI64,(ABG64*$ABJ$55))</f>
        <v>19.703999999999724</v>
      </c>
      <c r="ABK64" s="158" t="str">
        <f t="shared" si="14"/>
        <v>0</v>
      </c>
      <c r="ABL64" s="168">
        <f t="shared" si="10"/>
        <v>0</v>
      </c>
      <c r="ABM64" s="169">
        <f t="shared" si="11"/>
        <v>0</v>
      </c>
      <c r="ABT64" s="147">
        <f t="shared" si="12"/>
        <v>0</v>
      </c>
      <c r="ABU64" s="147">
        <f t="shared" si="13"/>
        <v>19.703999999999724</v>
      </c>
      <c r="ABY64" s="153" t="s">
        <v>73</v>
      </c>
      <c r="ABZ64" s="156">
        <v>3002</v>
      </c>
      <c r="ACA64" s="36">
        <v>707</v>
      </c>
      <c r="ACC64">
        <v>4306</v>
      </c>
      <c r="ACD64" s="7">
        <v>4276</v>
      </c>
      <c r="ACE64">
        <f>ACC64-ACD64</f>
        <v>30</v>
      </c>
      <c r="ACF64" s="74">
        <f>ABH58/ACD64</f>
        <v>1.9797762087932647</v>
      </c>
      <c r="ACG64">
        <v>1.43</v>
      </c>
      <c r="ACH64" s="74">
        <f>ACF64-ACG64</f>
        <v>0.54977620879326472</v>
      </c>
      <c r="ACI64" s="118"/>
      <c r="ACJ64">
        <f>ACE64*ACG64</f>
        <v>42.9</v>
      </c>
    </row>
    <row r="65" spans="504:764" ht="15.75" thickBot="1" x14ac:dyDescent="0.3">
      <c r="SJ65" s="134"/>
      <c r="ABE65" s="161" t="s">
        <v>171</v>
      </c>
      <c r="ABF65" s="158"/>
      <c r="ABG65" s="170">
        <f t="shared" ref="ABG65:ABM65" si="15">SUM(ABG58:ABG64)</f>
        <v>51350</v>
      </c>
      <c r="ABH65" s="170">
        <f t="shared" si="15"/>
        <v>49100.565499999997</v>
      </c>
      <c r="ABI65" s="170">
        <f t="shared" si="15"/>
        <v>2791.7285000000024</v>
      </c>
      <c r="ABJ65" s="170">
        <f t="shared" si="15"/>
        <v>1715.2039999999997</v>
      </c>
      <c r="ABK65" s="170">
        <f t="shared" si="15"/>
        <v>1384.0245000000025</v>
      </c>
      <c r="ABL65" s="188">
        <f t="shared" si="15"/>
        <v>43817.824334429672</v>
      </c>
      <c r="ABM65" s="189">
        <f t="shared" si="15"/>
        <v>8009.2124885253661</v>
      </c>
      <c r="ACD65" s="7"/>
      <c r="ACF65" s="74"/>
      <c r="ACH65" s="74"/>
      <c r="ACI65" s="118"/>
    </row>
    <row r="66" spans="504:764" x14ac:dyDescent="0.25">
      <c r="SJ66" s="134"/>
      <c r="ABE66" s="215"/>
      <c r="ABF66" s="229"/>
      <c r="ABG66" s="230"/>
      <c r="ABH66" s="230"/>
      <c r="ABI66" s="230"/>
      <c r="ABJ66" s="230"/>
      <c r="ABK66" s="230"/>
      <c r="ABL66" s="231"/>
      <c r="ABM66" s="231"/>
      <c r="ACD66" s="7"/>
      <c r="ACF66" s="74"/>
      <c r="ACH66" s="74"/>
      <c r="ACI66" s="118"/>
    </row>
    <row r="67" spans="504:764" ht="15.75" thickBot="1" x14ac:dyDescent="0.3">
      <c r="WJ67" s="267">
        <f>ABG58*ABJ54</f>
        <v>665.00000000000011</v>
      </c>
      <c r="WK67" s="267"/>
      <c r="WL67" s="267"/>
      <c r="WM67" s="267"/>
      <c r="WN67" s="267"/>
      <c r="WO67" s="267"/>
      <c r="WP67" s="267"/>
      <c r="WQ67" s="267"/>
      <c r="WR67" s="267"/>
      <c r="WS67" s="267"/>
      <c r="WT67" s="267"/>
      <c r="WU67" s="267"/>
      <c r="WV67" s="267"/>
      <c r="WW67" s="267"/>
      <c r="WX67" s="267"/>
      <c r="WY67" s="267"/>
      <c r="WZ67" s="267"/>
      <c r="XA67" s="267"/>
      <c r="XB67" s="267"/>
      <c r="XC67" s="267"/>
      <c r="XD67" s="267"/>
      <c r="XE67" s="267"/>
      <c r="XF67" s="267"/>
      <c r="XG67" s="267"/>
      <c r="XH67" s="267"/>
      <c r="XI67" s="267"/>
      <c r="XJ67" s="267"/>
      <c r="XK67" s="267"/>
      <c r="XL67" s="267"/>
      <c r="XM67" s="267"/>
      <c r="XN67" s="267"/>
      <c r="XO67" s="267"/>
      <c r="XP67" s="267"/>
      <c r="XQ67" s="267"/>
      <c r="XR67" s="267"/>
      <c r="XS67" s="267"/>
      <c r="XT67" s="267"/>
      <c r="XU67" s="267"/>
      <c r="XV67" s="267"/>
      <c r="XW67" s="267"/>
      <c r="XX67" s="267"/>
      <c r="XY67" s="267"/>
      <c r="XZ67" s="267"/>
      <c r="YA67" s="267"/>
      <c r="YB67" s="267"/>
      <c r="YC67" s="267"/>
      <c r="YD67" s="267"/>
      <c r="YE67" s="267"/>
      <c r="YF67" s="267"/>
      <c r="YG67" s="267"/>
      <c r="YH67" s="267"/>
      <c r="YI67" s="267"/>
      <c r="YJ67" s="267"/>
      <c r="YK67" s="267"/>
      <c r="YL67" s="267"/>
      <c r="YM67" s="267"/>
      <c r="YN67" s="267"/>
      <c r="YO67" s="267"/>
      <c r="YP67" s="267"/>
      <c r="YQ67" s="267"/>
      <c r="YR67" s="267"/>
      <c r="YS67" s="267"/>
      <c r="YT67" s="267"/>
      <c r="YU67" s="267"/>
      <c r="YV67" s="267"/>
      <c r="YW67" s="267"/>
      <c r="YX67" s="267"/>
      <c r="YY67" s="267"/>
      <c r="YZ67" s="267"/>
      <c r="ZA67" s="267"/>
      <c r="ZB67" s="267"/>
      <c r="ZC67" s="267"/>
      <c r="ZD67" s="267"/>
      <c r="ZE67" s="267"/>
      <c r="ZF67" s="267"/>
      <c r="ZG67" s="267"/>
      <c r="ZH67" s="267"/>
      <c r="ZI67" s="267"/>
      <c r="ZJ67" s="267"/>
      <c r="ZK67" s="267"/>
      <c r="ZL67" s="267"/>
      <c r="ZM67" s="267"/>
      <c r="ZN67" s="267"/>
      <c r="ZO67" s="267"/>
      <c r="ZP67" s="267"/>
      <c r="ZQ67" s="267"/>
      <c r="ZR67" s="267"/>
      <c r="ZS67" s="267"/>
      <c r="ZT67" s="267"/>
      <c r="ZU67" s="267"/>
      <c r="ZV67" s="267"/>
      <c r="ZW67" s="267"/>
      <c r="ZX67" s="267"/>
      <c r="ZY67" s="267"/>
      <c r="ZZ67" s="267"/>
      <c r="AAA67" s="267"/>
      <c r="AAB67" s="267"/>
      <c r="AAC67" s="267"/>
      <c r="AAD67" s="267"/>
      <c r="AAE67" s="267"/>
      <c r="AAF67" s="267"/>
      <c r="AAG67" s="267"/>
      <c r="AAH67" s="267"/>
      <c r="AAI67" s="267"/>
      <c r="AAJ67" s="267"/>
      <c r="AAK67" s="267"/>
      <c r="AAL67" s="267"/>
      <c r="AAM67" s="267"/>
      <c r="AAN67" s="267"/>
      <c r="AAO67" s="267"/>
      <c r="AAP67" s="267"/>
      <c r="AAQ67" s="267"/>
      <c r="AAR67" s="267"/>
      <c r="AAS67" s="267"/>
      <c r="AAT67" s="267"/>
      <c r="AAU67" s="267"/>
      <c r="AAV67" s="267"/>
      <c r="AAW67" s="267"/>
      <c r="AAX67" s="267"/>
      <c r="AAY67" s="267"/>
      <c r="AAZ67" s="267"/>
      <c r="ABA67" s="267"/>
      <c r="ABB67" s="267"/>
      <c r="ABC67" s="267"/>
      <c r="ABD67" s="267"/>
      <c r="ABE67" s="477" t="s">
        <v>146</v>
      </c>
      <c r="ABF67" s="477"/>
      <c r="ABG67" s="477"/>
      <c r="ABH67" s="477"/>
      <c r="ABI67" s="477"/>
      <c r="ABJ67" s="477"/>
      <c r="ABK67" s="477"/>
      <c r="ABL67" s="134"/>
      <c r="ABM67" s="134"/>
      <c r="ABN67" s="71"/>
      <c r="ACD67" s="7"/>
      <c r="ACF67" s="74"/>
      <c r="ACH67" s="74"/>
      <c r="ACI67" s="118"/>
    </row>
    <row r="68" spans="504:764" ht="30.75" thickBot="1" x14ac:dyDescent="0.3">
      <c r="WJ68" s="268">
        <f>ABG60*ABJ55</f>
        <v>307.5</v>
      </c>
      <c r="WK68" s="268"/>
      <c r="WL68" s="268"/>
      <c r="WM68" s="268"/>
      <c r="WN68" s="268"/>
      <c r="WO68" s="268"/>
      <c r="WP68" s="268"/>
      <c r="WQ68" s="268"/>
      <c r="WR68" s="268"/>
      <c r="WS68" s="268"/>
      <c r="WT68" s="268"/>
      <c r="WU68" s="268"/>
      <c r="WV68" s="268"/>
      <c r="WW68" s="268"/>
      <c r="WX68" s="268"/>
      <c r="WY68" s="268"/>
      <c r="WZ68" s="268"/>
      <c r="XA68" s="268"/>
      <c r="XB68" s="268"/>
      <c r="XC68" s="268"/>
      <c r="XD68" s="268"/>
      <c r="XE68" s="268"/>
      <c r="XF68" s="268"/>
      <c r="XG68" s="268"/>
      <c r="XH68" s="268"/>
      <c r="XI68" s="268"/>
      <c r="XJ68" s="268"/>
      <c r="XK68" s="268"/>
      <c r="XL68" s="268"/>
      <c r="XM68" s="268"/>
      <c r="XN68" s="268"/>
      <c r="XO68" s="268"/>
      <c r="XP68" s="268"/>
      <c r="XQ68" s="268"/>
      <c r="XR68" s="268"/>
      <c r="XS68" s="268"/>
      <c r="XT68" s="268"/>
      <c r="XU68" s="268"/>
      <c r="XV68" s="268"/>
      <c r="XW68" s="268"/>
      <c r="XX68" s="268"/>
      <c r="XY68" s="268"/>
      <c r="XZ68" s="268"/>
      <c r="YA68" s="268"/>
      <c r="YB68" s="268"/>
      <c r="YC68" s="268"/>
      <c r="YD68" s="268"/>
      <c r="YE68" s="268"/>
      <c r="YF68" s="268"/>
      <c r="YG68" s="268"/>
      <c r="YH68" s="268"/>
      <c r="YI68" s="268"/>
      <c r="YJ68" s="268"/>
      <c r="YK68" s="268"/>
      <c r="YL68" s="268"/>
      <c r="YM68" s="268"/>
      <c r="YN68" s="268"/>
      <c r="YO68" s="268"/>
      <c r="YP68" s="268"/>
      <c r="YQ68" s="268"/>
      <c r="YR68" s="268"/>
      <c r="YS68" s="268"/>
      <c r="YT68" s="268"/>
      <c r="YU68" s="268"/>
      <c r="YV68" s="268"/>
      <c r="YW68" s="268"/>
      <c r="YX68" s="268"/>
      <c r="YY68" s="268"/>
      <c r="YZ68" s="268"/>
      <c r="ZA68" s="268"/>
      <c r="ZB68" s="268"/>
      <c r="ZC68" s="268"/>
      <c r="ZD68" s="268"/>
      <c r="ZE68" s="268"/>
      <c r="ZF68" s="268"/>
      <c r="ZG68" s="268"/>
      <c r="ZH68" s="268"/>
      <c r="ZI68" s="268"/>
      <c r="ZJ68" s="268"/>
      <c r="ZK68" s="268"/>
      <c r="ZL68" s="268"/>
      <c r="ZM68" s="268"/>
      <c r="ZN68" s="268"/>
      <c r="ZO68" s="268"/>
      <c r="ZP68" s="268"/>
      <c r="ZQ68" s="268"/>
      <c r="ZR68" s="268"/>
      <c r="ZS68" s="268"/>
      <c r="ZT68" s="268"/>
      <c r="ZU68" s="268"/>
      <c r="ZV68" s="268"/>
      <c r="ZW68" s="268"/>
      <c r="ZX68" s="268"/>
      <c r="ZY68" s="268"/>
      <c r="ZZ68" s="268"/>
      <c r="AAA68" s="268"/>
      <c r="AAB68" s="268"/>
      <c r="AAC68" s="268"/>
      <c r="AAD68" s="268"/>
      <c r="AAE68" s="268"/>
      <c r="AAF68" s="268"/>
      <c r="AAG68" s="268"/>
      <c r="AAH68" s="268"/>
      <c r="AAI68" s="268"/>
      <c r="AAJ68" s="268"/>
      <c r="AAK68" s="268"/>
      <c r="AAL68" s="268"/>
      <c r="AAM68" s="268"/>
      <c r="AAN68" s="268"/>
      <c r="AAO68" s="268"/>
      <c r="AAP68" s="268"/>
      <c r="AAQ68" s="268"/>
      <c r="AAR68" s="268"/>
      <c r="AAS68" s="268"/>
      <c r="AAT68" s="268"/>
      <c r="AAU68" s="268"/>
      <c r="AAV68" s="268"/>
      <c r="AAW68" s="268"/>
      <c r="AAX68" s="268"/>
      <c r="AAY68" s="268"/>
      <c r="AAZ68" s="268"/>
      <c r="ABA68" s="268"/>
      <c r="ABB68" s="268"/>
      <c r="ABC68" s="268"/>
      <c r="ABD68" s="268"/>
      <c r="ABE68" s="244" t="s">
        <v>155</v>
      </c>
      <c r="ABF68" s="166" t="s">
        <v>156</v>
      </c>
      <c r="ABG68" s="166" t="s">
        <v>157</v>
      </c>
      <c r="ABH68" s="166" t="s">
        <v>158</v>
      </c>
      <c r="ABI68" s="165" t="s">
        <v>159</v>
      </c>
      <c r="ABJ68" s="134"/>
      <c r="ABK68" s="134"/>
      <c r="ABL68" s="122"/>
      <c r="ABM68" s="134">
        <f>ABG58*0.07</f>
        <v>665.00000000000011</v>
      </c>
      <c r="ABN68" s="71"/>
      <c r="ACC68">
        <f>2882-ACC72</f>
        <v>2437</v>
      </c>
      <c r="ACD68" s="7">
        <v>2354</v>
      </c>
      <c r="ACE68">
        <v>0</v>
      </c>
      <c r="ACF68" s="74">
        <f>ABH60/ACD68</f>
        <v>4.5846618521665254</v>
      </c>
      <c r="ACG68">
        <v>3.17</v>
      </c>
      <c r="ACH68" s="74">
        <f>ACF68-ACG68</f>
        <v>1.4146618521665255</v>
      </c>
      <c r="ACJ68">
        <f>ACE68*ACG68</f>
        <v>0</v>
      </c>
    </row>
    <row r="69" spans="504:764" ht="15.75" thickBot="1" x14ac:dyDescent="0.3">
      <c r="WJ69" s="267">
        <f>ABG61*ABJ55</f>
        <v>540</v>
      </c>
      <c r="WK69" s="267"/>
      <c r="WL69" s="267"/>
      <c r="WM69" s="267"/>
      <c r="WN69" s="267"/>
      <c r="WO69" s="267"/>
      <c r="WP69" s="267"/>
      <c r="WQ69" s="267"/>
      <c r="WR69" s="267"/>
      <c r="WS69" s="267"/>
      <c r="WT69" s="267"/>
      <c r="WU69" s="267"/>
      <c r="WV69" s="267"/>
      <c r="WW69" s="267"/>
      <c r="WX69" s="267"/>
      <c r="WY69" s="267"/>
      <c r="WZ69" s="267"/>
      <c r="XA69" s="267"/>
      <c r="XB69" s="267"/>
      <c r="XC69" s="267"/>
      <c r="XD69" s="267"/>
      <c r="XE69" s="267"/>
      <c r="XF69" s="267"/>
      <c r="XG69" s="267"/>
      <c r="XH69" s="267"/>
      <c r="XI69" s="267"/>
      <c r="XJ69" s="267"/>
      <c r="XK69" s="267"/>
      <c r="XL69" s="267"/>
      <c r="XM69" s="267"/>
      <c r="XN69" s="267"/>
      <c r="XO69" s="267"/>
      <c r="XP69" s="267"/>
      <c r="XQ69" s="267"/>
      <c r="XR69" s="267"/>
      <c r="XS69" s="267"/>
      <c r="XT69" s="267"/>
      <c r="XU69" s="267"/>
      <c r="XV69" s="267"/>
      <c r="XW69" s="267"/>
      <c r="XX69" s="267"/>
      <c r="XY69" s="267"/>
      <c r="XZ69" s="267"/>
      <c r="YA69" s="267"/>
      <c r="YB69" s="267"/>
      <c r="YC69" s="267"/>
      <c r="YD69" s="267"/>
      <c r="YE69" s="267"/>
      <c r="YF69" s="267"/>
      <c r="YG69" s="267"/>
      <c r="YH69" s="267"/>
      <c r="YI69" s="267"/>
      <c r="YJ69" s="267"/>
      <c r="YK69" s="267"/>
      <c r="YL69" s="267"/>
      <c r="YM69" s="267"/>
      <c r="YN69" s="267"/>
      <c r="YO69" s="267"/>
      <c r="YP69" s="267"/>
      <c r="YQ69" s="267"/>
      <c r="YR69" s="267"/>
      <c r="YS69" s="267"/>
      <c r="YT69" s="267"/>
      <c r="YU69" s="267"/>
      <c r="YV69" s="267"/>
      <c r="YW69" s="267"/>
      <c r="YX69" s="267"/>
      <c r="YY69" s="267"/>
      <c r="YZ69" s="267"/>
      <c r="ZA69" s="267"/>
      <c r="ZB69" s="267"/>
      <c r="ZC69" s="267"/>
      <c r="ZD69" s="267"/>
      <c r="ZE69" s="267"/>
      <c r="ZF69" s="267"/>
      <c r="ZG69" s="267"/>
      <c r="ZH69" s="267"/>
      <c r="ZI69" s="267"/>
      <c r="ZJ69" s="267"/>
      <c r="ZK69" s="267"/>
      <c r="ZL69" s="267"/>
      <c r="ZM69" s="267"/>
      <c r="ZN69" s="267"/>
      <c r="ZO69" s="267"/>
      <c r="ZP69" s="267"/>
      <c r="ZQ69" s="267"/>
      <c r="ZR69" s="267"/>
      <c r="ZS69" s="267"/>
      <c r="ZT69" s="267"/>
      <c r="ZU69" s="267"/>
      <c r="ZV69" s="267"/>
      <c r="ZW69" s="267"/>
      <c r="ZX69" s="267"/>
      <c r="ZY69" s="267"/>
      <c r="ZZ69" s="267"/>
      <c r="AAA69" s="267"/>
      <c r="AAB69" s="267"/>
      <c r="AAC69" s="267"/>
      <c r="AAD69" s="267"/>
      <c r="AAE69" s="267"/>
      <c r="AAF69" s="267"/>
      <c r="AAG69" s="267"/>
      <c r="AAH69" s="267"/>
      <c r="AAI69" s="267"/>
      <c r="AAJ69" s="267"/>
      <c r="AAK69" s="267"/>
      <c r="AAL69" s="267"/>
      <c r="AAM69" s="267"/>
      <c r="AAN69" s="267"/>
      <c r="AAO69" s="267"/>
      <c r="AAP69" s="267"/>
      <c r="AAQ69" s="267"/>
      <c r="AAR69" s="267"/>
      <c r="AAS69" s="267"/>
      <c r="AAT69" s="267"/>
      <c r="AAU69" s="267"/>
      <c r="AAV69" s="267"/>
      <c r="AAW69" s="267"/>
      <c r="AAX69" s="267"/>
      <c r="AAY69" s="267"/>
      <c r="AAZ69" s="267"/>
      <c r="ABA69" s="267"/>
      <c r="ABB69" s="267"/>
      <c r="ABC69" s="267"/>
      <c r="ABD69" s="267"/>
      <c r="ABE69" s="178" t="s">
        <v>81</v>
      </c>
      <c r="ABF69" s="478" t="s">
        <v>172</v>
      </c>
      <c r="ABG69" s="479">
        <v>10131</v>
      </c>
      <c r="ABH69" s="308">
        <v>6785</v>
      </c>
      <c r="ABI69" s="179">
        <v>0</v>
      </c>
      <c r="ABJ69" s="134"/>
      <c r="ABK69" s="134"/>
      <c r="ABL69" s="134"/>
      <c r="ABM69" s="134"/>
      <c r="ABN69" s="71"/>
      <c r="ACB69" s="70"/>
      <c r="ACC69">
        <v>7124</v>
      </c>
      <c r="ACD69" s="7">
        <v>4309</v>
      </c>
      <c r="ACE69">
        <f>ACC69-ACD69</f>
        <v>2815</v>
      </c>
      <c r="ACF69" s="74">
        <f>ABH61/ACD69</f>
        <v>4.0514380830819139</v>
      </c>
      <c r="ACG69">
        <v>2.2599999999999998</v>
      </c>
      <c r="ACH69" s="74">
        <f>ACF69-ACG69</f>
        <v>1.7914380830819141</v>
      </c>
      <c r="ACJ69">
        <f>ACE69*ACG69</f>
        <v>6361.9</v>
      </c>
    </row>
    <row r="70" spans="504:764" ht="30.75" thickBot="1" x14ac:dyDescent="0.3">
      <c r="WJ70" s="267">
        <f>ABG64*ABJ55</f>
        <v>225</v>
      </c>
      <c r="WK70" s="267"/>
      <c r="WL70" s="267"/>
      <c r="WM70" s="267"/>
      <c r="WN70" s="267"/>
      <c r="WO70" s="267"/>
      <c r="WP70" s="267"/>
      <c r="WQ70" s="267"/>
      <c r="WR70" s="267"/>
      <c r="WS70" s="267"/>
      <c r="WT70" s="267"/>
      <c r="WU70" s="267"/>
      <c r="WV70" s="267"/>
      <c r="WW70" s="267"/>
      <c r="WX70" s="267"/>
      <c r="WY70" s="267"/>
      <c r="WZ70" s="267"/>
      <c r="XA70" s="267"/>
      <c r="XB70" s="267"/>
      <c r="XC70" s="267"/>
      <c r="XD70" s="267"/>
      <c r="XE70" s="267"/>
      <c r="XF70" s="267"/>
      <c r="XG70" s="267"/>
      <c r="XH70" s="267"/>
      <c r="XI70" s="267"/>
      <c r="XJ70" s="267"/>
      <c r="XK70" s="267"/>
      <c r="XL70" s="267"/>
      <c r="XM70" s="267"/>
      <c r="XN70" s="267"/>
      <c r="XO70" s="267"/>
      <c r="XP70" s="267"/>
      <c r="XQ70" s="267"/>
      <c r="XR70" s="267"/>
      <c r="XS70" s="267"/>
      <c r="XT70" s="267"/>
      <c r="XU70" s="267"/>
      <c r="XV70" s="267"/>
      <c r="XW70" s="267"/>
      <c r="XX70" s="267"/>
      <c r="XY70" s="267"/>
      <c r="XZ70" s="267"/>
      <c r="YA70" s="267"/>
      <c r="YB70" s="267"/>
      <c r="YC70" s="267"/>
      <c r="YD70" s="267"/>
      <c r="YE70" s="267"/>
      <c r="YF70" s="267"/>
      <c r="YG70" s="267"/>
      <c r="YH70" s="267"/>
      <c r="YI70" s="267"/>
      <c r="YJ70" s="267"/>
      <c r="YK70" s="267"/>
      <c r="YL70" s="267"/>
      <c r="YM70" s="267"/>
      <c r="YN70" s="267"/>
      <c r="YO70" s="267"/>
      <c r="YP70" s="267"/>
      <c r="YQ70" s="267"/>
      <c r="YR70" s="267"/>
      <c r="YS70" s="267"/>
      <c r="YT70" s="267"/>
      <c r="YU70" s="267"/>
      <c r="YV70" s="267"/>
      <c r="YW70" s="267"/>
      <c r="YX70" s="267"/>
      <c r="YY70" s="267"/>
      <c r="YZ70" s="267"/>
      <c r="ZA70" s="267"/>
      <c r="ZB70" s="267"/>
      <c r="ZC70" s="267"/>
      <c r="ZD70" s="267"/>
      <c r="ZE70" s="267"/>
      <c r="ZF70" s="267"/>
      <c r="ZG70" s="267"/>
      <c r="ZH70" s="267"/>
      <c r="ZI70" s="267"/>
      <c r="ZJ70" s="267"/>
      <c r="ZK70" s="267"/>
      <c r="ZL70" s="267"/>
      <c r="ZM70" s="267"/>
      <c r="ZN70" s="267"/>
      <c r="ZO70" s="267"/>
      <c r="ZP70" s="267"/>
      <c r="ZQ70" s="267"/>
      <c r="ZR70" s="267"/>
      <c r="ZS70" s="267"/>
      <c r="ZT70" s="267"/>
      <c r="ZU70" s="267"/>
      <c r="ZV70" s="267"/>
      <c r="ZW70" s="267"/>
      <c r="ZX70" s="267"/>
      <c r="ZY70" s="267"/>
      <c r="ZZ70" s="267"/>
      <c r="AAA70" s="267"/>
      <c r="AAB70" s="267"/>
      <c r="AAC70" s="267"/>
      <c r="AAD70" s="267"/>
      <c r="AAE70" s="267"/>
      <c r="AAF70" s="267"/>
      <c r="AAG70" s="267"/>
      <c r="AAH70" s="267"/>
      <c r="AAI70" s="267"/>
      <c r="AAJ70" s="267"/>
      <c r="AAK70" s="267"/>
      <c r="AAL70" s="267"/>
      <c r="AAM70" s="267"/>
      <c r="AAN70" s="267"/>
      <c r="AAO70" s="267"/>
      <c r="AAP70" s="267"/>
      <c r="AAQ70" s="267"/>
      <c r="AAR70" s="267"/>
      <c r="AAS70" s="267"/>
      <c r="AAT70" s="267"/>
      <c r="AAU70" s="267"/>
      <c r="AAV70" s="267"/>
      <c r="AAW70" s="267"/>
      <c r="AAX70" s="267"/>
      <c r="AAY70" s="267"/>
      <c r="AAZ70" s="267"/>
      <c r="ABA70" s="267"/>
      <c r="ABB70" s="267"/>
      <c r="ABC70" s="267"/>
      <c r="ABD70" s="267"/>
      <c r="ABE70" s="180" t="s">
        <v>173</v>
      </c>
      <c r="ABF70" s="478"/>
      <c r="ABG70" s="479"/>
      <c r="ABH70" s="201">
        <v>931</v>
      </c>
      <c r="ABI70" s="179">
        <v>0</v>
      </c>
      <c r="ABJ70" s="134">
        <f>1500-447</f>
        <v>1053</v>
      </c>
      <c r="ABK70" s="134"/>
      <c r="ABL70" s="134"/>
      <c r="ABM70" s="134"/>
      <c r="ABN70" s="71"/>
      <c r="ACB70" s="70"/>
      <c r="ACD70" s="7"/>
      <c r="ACF70" s="74"/>
      <c r="ACH70" s="74"/>
    </row>
    <row r="71" spans="504:764" ht="15.75" thickBot="1" x14ac:dyDescent="0.3">
      <c r="ABE71" s="181" t="s">
        <v>174</v>
      </c>
      <c r="ABF71" s="182" t="s">
        <v>172</v>
      </c>
      <c r="ABG71" s="183">
        <v>10131</v>
      </c>
      <c r="ABH71" s="201">
        <f>SUM(ABH69:ABH70)</f>
        <v>7716</v>
      </c>
      <c r="ABI71" s="203">
        <f>ABG71-ABH71</f>
        <v>2415</v>
      </c>
      <c r="ABJ71" s="134">
        <f>ABG71-ABH71</f>
        <v>2415</v>
      </c>
      <c r="ABK71" s="134"/>
      <c r="ABL71" s="134"/>
      <c r="ABM71" s="134"/>
      <c r="ABN71" s="71"/>
      <c r="ACB71" s="70"/>
      <c r="ACD71" s="7"/>
      <c r="ACF71" s="74"/>
      <c r="ACH71" s="74"/>
    </row>
    <row r="72" spans="504:764" ht="15.75" thickBot="1" x14ac:dyDescent="0.3">
      <c r="ABE72" s="306" t="s">
        <v>82</v>
      </c>
      <c r="ABF72" s="182" t="str">
        <f>ABM9</f>
        <v>No of pallets</v>
      </c>
      <c r="ABG72" s="185">
        <v>1500</v>
      </c>
      <c r="ABH72" s="201">
        <v>1366</v>
      </c>
      <c r="ABI72" s="179">
        <f>IF(ABH72&gt;ABG72,0,(ABG72-ABH72))</f>
        <v>134</v>
      </c>
      <c r="ABJ72" s="172">
        <f>ABG72-ABH72</f>
        <v>134</v>
      </c>
      <c r="ABK72" s="134"/>
      <c r="ABN72" s="71"/>
      <c r="ACC72">
        <v>445</v>
      </c>
      <c r="ACD72" s="7">
        <v>309</v>
      </c>
      <c r="ACE72" s="50">
        <f>ACC72-ACD72</f>
        <v>136</v>
      </c>
      <c r="ACF72" s="74" t="e">
        <f>#REF!/ACD72</f>
        <v>#REF!</v>
      </c>
      <c r="ACG72">
        <v>3.17</v>
      </c>
      <c r="ACH72" s="74" t="e">
        <f>ACF72-ACG72</f>
        <v>#REF!</v>
      </c>
      <c r="ACI72" s="50"/>
      <c r="ACJ72" s="50">
        <f>ACE72*ACG72</f>
        <v>431.12</v>
      </c>
    </row>
    <row r="73" spans="504:764" x14ac:dyDescent="0.25">
      <c r="ABN73" s="71"/>
    </row>
    <row r="74" spans="504:764" x14ac:dyDescent="0.25">
      <c r="ABE74" t="s">
        <v>175</v>
      </c>
      <c r="ABN74" s="80"/>
    </row>
    <row r="75" spans="504:764" x14ac:dyDescent="0.25">
      <c r="ABE75" s="148" t="s">
        <v>176</v>
      </c>
    </row>
    <row r="76" spans="504:764" x14ac:dyDescent="0.25">
      <c r="ABE76" s="148" t="s">
        <v>177</v>
      </c>
      <c r="ABI76" s="139"/>
    </row>
    <row r="77" spans="504:764" x14ac:dyDescent="0.25">
      <c r="ABE77" t="s">
        <v>178</v>
      </c>
      <c r="ABH77" s="71"/>
      <c r="ABL77" s="71"/>
    </row>
    <row r="78" spans="504:764" x14ac:dyDescent="0.25">
      <c r="ABL78" s="71"/>
    </row>
    <row r="79" spans="504:764" x14ac:dyDescent="0.25">
      <c r="ABJ79" s="137"/>
    </row>
    <row r="80" spans="504:764" ht="21.75" customHeight="1" x14ac:dyDescent="0.25">
      <c r="ABE80" s="149" t="s">
        <v>179</v>
      </c>
      <c r="ABI80" s="135"/>
      <c r="ABJ80" s="137"/>
      <c r="ABL80" s="138"/>
    </row>
    <row r="81" spans="733:750" ht="8.25" customHeight="1" x14ac:dyDescent="0.25">
      <c r="ABI81" s="136"/>
      <c r="ABL81" s="80"/>
    </row>
    <row r="82" spans="733:750" x14ac:dyDescent="0.25">
      <c r="ABF82"/>
    </row>
    <row r="83" spans="733:750" ht="15.75" customHeight="1" x14ac:dyDescent="0.25">
      <c r="ABF83"/>
      <c r="ABO83" s="50"/>
      <c r="ABS83"/>
      <c r="ABT83"/>
      <c r="ABU83"/>
      <c r="ABV83"/>
    </row>
    <row r="84" spans="733:750" ht="27.75" customHeight="1" thickBot="1" x14ac:dyDescent="0.3">
      <c r="ABE84" s="75" t="s">
        <v>151</v>
      </c>
      <c r="ABL84" s="471"/>
      <c r="ABM84" s="471"/>
      <c r="ABO84" s="50"/>
      <c r="ABS84"/>
      <c r="ABT84"/>
      <c r="ABU84"/>
      <c r="ABV84"/>
    </row>
    <row r="85" spans="733:750" ht="45.75" thickBot="1" x14ac:dyDescent="0.3">
      <c r="ABE85" s="205" t="s">
        <v>155</v>
      </c>
      <c r="ABF85" s="205" t="s">
        <v>156</v>
      </c>
      <c r="ABG85" s="205" t="s">
        <v>157</v>
      </c>
      <c r="ABH85" s="205" t="s">
        <v>158</v>
      </c>
      <c r="ABI85" s="205" t="s">
        <v>159</v>
      </c>
      <c r="ABJ85" s="205" t="s">
        <v>160</v>
      </c>
      <c r="ABK85" s="205" t="s">
        <v>161</v>
      </c>
      <c r="ABL85" s="472" t="s">
        <v>154</v>
      </c>
      <c r="ABM85" s="473"/>
      <c r="ABO85" s="50"/>
      <c r="ABS85"/>
      <c r="ABT85"/>
      <c r="ABU85"/>
      <c r="ABV85"/>
    </row>
    <row r="86" spans="733:750" ht="15.75" thickBot="1" x14ac:dyDescent="0.3">
      <c r="ABE86" s="304" t="s">
        <v>65</v>
      </c>
      <c r="ABF86" s="207" t="s">
        <v>47</v>
      </c>
      <c r="ABG86" s="208">
        <f>'All WH'!AIK87</f>
        <v>21000</v>
      </c>
      <c r="ABH86" s="208">
        <f>'All WH'!AIL87</f>
        <v>8773.6718999999994</v>
      </c>
      <c r="ABI86" s="210">
        <f>'All WH'!AIM87</f>
        <v>12226.328100000001</v>
      </c>
      <c r="ABJ86" s="210">
        <f>'All WH'!AIN87</f>
        <v>630</v>
      </c>
      <c r="ABK86" s="210">
        <f>'All WH'!AIO87</f>
        <v>11596.328100000001</v>
      </c>
      <c r="ABL86" s="212">
        <f>'All WH'!AIP87</f>
        <v>1237195.135652459</v>
      </c>
      <c r="ABM86" s="212">
        <f>'All WH'!AIQ87</f>
        <v>279832.70431475411</v>
      </c>
      <c r="ABN86" s="50"/>
      <c r="ABO86" s="50"/>
      <c r="ABS86"/>
      <c r="ABT86"/>
      <c r="ABU86"/>
      <c r="ABV86"/>
    </row>
    <row r="87" spans="733:750" ht="15.75" thickBot="1" x14ac:dyDescent="0.3">
      <c r="ABE87" s="304" t="s">
        <v>73</v>
      </c>
      <c r="ABF87" s="207" t="s">
        <v>47</v>
      </c>
      <c r="ABG87" s="208">
        <f>'All WH'!AIK88</f>
        <v>7500</v>
      </c>
      <c r="ABH87" s="208">
        <f>'All WH'!AIL88</f>
        <v>7676.0394999999999</v>
      </c>
      <c r="ABI87" s="210" t="str">
        <f>'All WH'!AIM88</f>
        <v>0</v>
      </c>
      <c r="ABJ87" s="210">
        <f>'All WH'!AIN88</f>
        <v>225</v>
      </c>
      <c r="ABK87" s="210" t="str">
        <f>'All WH'!AIO88</f>
        <v>0</v>
      </c>
      <c r="ABL87" s="212">
        <f>'All WH'!AIP88</f>
        <v>0</v>
      </c>
      <c r="ABM87" s="212">
        <f>'All WH'!AIQ88</f>
        <v>0</v>
      </c>
      <c r="ABN87" s="50"/>
      <c r="ABO87" s="50"/>
      <c r="ABS87"/>
      <c r="ABT87"/>
      <c r="ABU87"/>
      <c r="ABV87"/>
    </row>
    <row r="88" spans="733:750" ht="15.75" thickBot="1" x14ac:dyDescent="0.3">
      <c r="ABE88" s="304" t="s">
        <v>63</v>
      </c>
      <c r="ABF88" s="207" t="s">
        <v>47</v>
      </c>
      <c r="ABG88" s="208">
        <f>'All WH'!AIK89</f>
        <v>10300</v>
      </c>
      <c r="ABH88" s="208">
        <f>'All WH'!AIL89</f>
        <v>4837.7183473000014</v>
      </c>
      <c r="ABI88" s="210">
        <f>'All WH'!AIM89</f>
        <v>5462.2816526999986</v>
      </c>
      <c r="ABJ88" s="210">
        <f>'All WH'!AIN89</f>
        <v>721.00000000000011</v>
      </c>
      <c r="ABK88" s="210">
        <f>'All WH'!AIO89</f>
        <v>4741.2816526999986</v>
      </c>
      <c r="ABL88" s="212">
        <f>'All WH'!AIP89</f>
        <v>453919.42379947525</v>
      </c>
      <c r="ABM88" s="212">
        <f>'All WH'!AIQ89</f>
        <v>82855.840029150801</v>
      </c>
      <c r="ABN88" s="50"/>
      <c r="ABO88" s="50"/>
      <c r="ABS88"/>
      <c r="ABT88"/>
      <c r="ABU88"/>
      <c r="ABV88"/>
    </row>
    <row r="89" spans="733:750" ht="15.75" thickBot="1" x14ac:dyDescent="0.3">
      <c r="ABE89" s="304" t="s">
        <v>68</v>
      </c>
      <c r="ABF89" s="207" t="s">
        <v>47</v>
      </c>
      <c r="ABG89" s="208">
        <f>'All WH'!AIK90</f>
        <v>100</v>
      </c>
      <c r="ABH89" s="208">
        <f>'All WH'!AIL90</f>
        <v>36.439366699999859</v>
      </c>
      <c r="ABI89" s="210">
        <f>'All WH'!AIM90</f>
        <v>63.560633300000141</v>
      </c>
      <c r="ABJ89" s="210">
        <f>'All WH'!AIN90</f>
        <v>3</v>
      </c>
      <c r="ABK89" s="210">
        <f>'All WH'!AIO90</f>
        <v>60.560633300000141</v>
      </c>
      <c r="ABL89" s="212">
        <f>'All WH'!AIP90</f>
        <v>5797.9360405246034</v>
      </c>
      <c r="ABM89" s="212">
        <f>'All WH'!AIQ90</f>
        <v>1058.3218868491829</v>
      </c>
      <c r="ABN89" s="50"/>
      <c r="ABO89" s="50"/>
      <c r="ABS89"/>
      <c r="ABT89"/>
      <c r="ABU89"/>
      <c r="ABV89"/>
    </row>
    <row r="90" spans="733:750" ht="15.75" thickBot="1" x14ac:dyDescent="0.3">
      <c r="ABE90" s="304" t="s">
        <v>64</v>
      </c>
      <c r="ABF90" s="207" t="s">
        <v>47</v>
      </c>
      <c r="ABG90" s="208">
        <f>'All WH'!AIK91</f>
        <v>10250</v>
      </c>
      <c r="ABH90" s="208">
        <f>'All WH'!AIL91</f>
        <v>6155.6408999999994</v>
      </c>
      <c r="ABI90" s="210">
        <f>'All WH'!AIM91</f>
        <v>4094.3591000000006</v>
      </c>
      <c r="ABJ90" s="210">
        <f>'All WH'!AIN91</f>
        <v>307.5</v>
      </c>
      <c r="ABK90" s="210">
        <f>'All WH'!AIO91</f>
        <v>3786.8591000000006</v>
      </c>
      <c r="ABL90" s="212">
        <f>'All WH'!AIP91</f>
        <v>309405.0123672132</v>
      </c>
      <c r="ABM90" s="212">
        <f>'All WH'!AIQ91</f>
        <v>76978.775147541004</v>
      </c>
      <c r="ABN90" s="50"/>
      <c r="ABO90" s="50"/>
      <c r="ABS90"/>
      <c r="ABT90"/>
      <c r="ABU90"/>
      <c r="ABV90"/>
    </row>
    <row r="91" spans="733:750" ht="15.75" thickBot="1" x14ac:dyDescent="0.3">
      <c r="ABE91" s="305" t="s">
        <v>171</v>
      </c>
      <c r="ABF91" s="206"/>
      <c r="ABG91" s="209">
        <f t="shared" ref="ABG91:ABM91" si="16">SUM(ABG86:ABG90)</f>
        <v>49150</v>
      </c>
      <c r="ABH91" s="209">
        <f t="shared" si="16"/>
        <v>27479.510014</v>
      </c>
      <c r="ABI91" s="211">
        <f t="shared" si="16"/>
        <v>21846.529485999999</v>
      </c>
      <c r="ABJ91" s="211">
        <f t="shared" si="16"/>
        <v>1886.5</v>
      </c>
      <c r="ABK91" s="211">
        <f t="shared" si="16"/>
        <v>20185.029485999999</v>
      </c>
      <c r="ABL91" s="211">
        <f t="shared" si="16"/>
        <v>2006317.507859672</v>
      </c>
      <c r="ABM91" s="211">
        <f t="shared" si="16"/>
        <v>440725.64137829514</v>
      </c>
      <c r="ABN91" s="50"/>
      <c r="ABO91" s="50"/>
      <c r="ABS91"/>
      <c r="ABT91"/>
      <c r="ABU91"/>
      <c r="ABV91"/>
    </row>
    <row r="92" spans="733:750" ht="15.75" thickBot="1" x14ac:dyDescent="0.3">
      <c r="ABF92"/>
      <c r="ABN92" s="50"/>
      <c r="ABO92" s="50"/>
      <c r="ABS92"/>
      <c r="ABT92"/>
      <c r="ABU92"/>
      <c r="ABV92"/>
    </row>
    <row r="93" spans="733:750" ht="30.75" thickBot="1" x14ac:dyDescent="0.3">
      <c r="ABE93" s="160" t="s">
        <v>66</v>
      </c>
      <c r="ABF93" s="159" t="s">
        <v>47</v>
      </c>
      <c r="ABG93" s="208">
        <f>'All WH'!AIK94</f>
        <v>1700</v>
      </c>
      <c r="ABH93" s="208">
        <f>'All WH'!AIL94</f>
        <v>0</v>
      </c>
      <c r="ABI93" s="210">
        <f>'All WH'!AIM94</f>
        <v>1700</v>
      </c>
      <c r="ABJ93" s="158"/>
      <c r="ABK93" s="158"/>
      <c r="ABL93" s="233"/>
      <c r="ABM93" s="232"/>
      <c r="ABN93" s="50"/>
      <c r="ABO93" s="50"/>
      <c r="ABS93"/>
      <c r="ABT93"/>
      <c r="ABU93"/>
      <c r="ABV93"/>
    </row>
    <row r="94" spans="733:750" ht="30.75" thickBot="1" x14ac:dyDescent="0.3">
      <c r="ABE94" s="160" t="s">
        <v>67</v>
      </c>
      <c r="ABF94" s="159" t="s">
        <v>47</v>
      </c>
      <c r="ABG94" s="208">
        <f>'All WH'!AIK95</f>
        <v>4300</v>
      </c>
      <c r="ABH94" s="208">
        <f>'All WH'!AIL95</f>
        <v>3114.8409999999999</v>
      </c>
      <c r="ABI94" s="210">
        <f>'All WH'!AIM95</f>
        <v>1185.1590000000001</v>
      </c>
      <c r="ABJ94" s="158"/>
      <c r="ABK94" s="158"/>
      <c r="ABL94" s="233"/>
      <c r="ABM94" s="232"/>
      <c r="ABN94" s="50"/>
      <c r="ABO94" s="50"/>
      <c r="ABS94"/>
      <c r="ABT94"/>
      <c r="ABU94"/>
      <c r="ABV94"/>
    </row>
    <row r="95" spans="733:750" x14ac:dyDescent="0.25">
      <c r="ABF95"/>
    </row>
    <row r="96" spans="733:750" x14ac:dyDescent="0.25">
      <c r="ABF96"/>
    </row>
    <row r="97" spans="569:752" x14ac:dyDescent="0.25">
      <c r="UW97" s="194" t="s">
        <v>70</v>
      </c>
      <c r="UX97" t="s">
        <v>77</v>
      </c>
      <c r="ABF97"/>
    </row>
    <row r="98" spans="569:752" x14ac:dyDescent="0.25">
      <c r="UW98" s="17" t="s">
        <v>65</v>
      </c>
      <c r="UX98">
        <v>11596.328100000001</v>
      </c>
      <c r="ABE98" s="302" t="s">
        <v>180</v>
      </c>
      <c r="ABF98"/>
    </row>
    <row r="99" spans="569:752" x14ac:dyDescent="0.25">
      <c r="UW99" s="17" t="s">
        <v>73</v>
      </c>
      <c r="UX99">
        <v>0</v>
      </c>
    </row>
    <row r="100" spans="569:752" ht="45" x14ac:dyDescent="0.25">
      <c r="UW100" s="17" t="s">
        <v>63</v>
      </c>
      <c r="UX100">
        <v>4741.2816526999986</v>
      </c>
      <c r="ABE100" s="254" t="s">
        <v>155</v>
      </c>
      <c r="ABF100" s="246" t="s">
        <v>181</v>
      </c>
      <c r="ABG100" s="247" t="s">
        <v>182</v>
      </c>
      <c r="ABH100" s="247" t="s">
        <v>183</v>
      </c>
      <c r="ABI100" s="247" t="s">
        <v>184</v>
      </c>
      <c r="ABJ100" s="246" t="s">
        <v>185</v>
      </c>
      <c r="ABW100" s="50"/>
      <c r="ABX100" s="52"/>
    </row>
    <row r="101" spans="569:752" x14ac:dyDescent="0.25">
      <c r="UW101" s="17" t="s">
        <v>64</v>
      </c>
      <c r="UX101">
        <v>3786.8591000000006</v>
      </c>
      <c r="ABE101" s="245" t="s">
        <v>186</v>
      </c>
      <c r="ABF101" s="248">
        <f>3345.82-ABF106</f>
        <v>3256.19</v>
      </c>
      <c r="ABG101" s="249">
        <f>ABH86</f>
        <v>8773.6718999999994</v>
      </c>
      <c r="ABH101" s="250">
        <f>ABF101/ABG101</f>
        <v>0.3711319544556938</v>
      </c>
      <c r="ABI101" s="253">
        <f>'100% Occupancy'!C18</f>
        <v>0.44779389999999997</v>
      </c>
      <c r="ABJ101" s="270">
        <f>ABK86</f>
        <v>11596.328100000001</v>
      </c>
      <c r="ABK101" s="172"/>
    </row>
    <row r="102" spans="569:752" x14ac:dyDescent="0.25">
      <c r="UW102" s="17" t="s">
        <v>68</v>
      </c>
      <c r="UX102">
        <v>60.560633300000141</v>
      </c>
      <c r="ABE102" s="245" t="s">
        <v>73</v>
      </c>
      <c r="ABF102" s="248">
        <v>1358.78</v>
      </c>
      <c r="ABG102" s="249">
        <f>ABH87</f>
        <v>7676.0394999999999</v>
      </c>
      <c r="ABH102" s="250">
        <f>ABF102/ABG102</f>
        <v>0.17701576444467229</v>
      </c>
      <c r="ABI102" s="253">
        <f>'100% Occupancy'!C21</f>
        <v>1</v>
      </c>
      <c r="ABJ102" s="270" t="str">
        <f>ABK87</f>
        <v>0</v>
      </c>
      <c r="ABK102" s="172"/>
    </row>
    <row r="103" spans="569:752" x14ac:dyDescent="0.25">
      <c r="UW103" s="17" t="s">
        <v>88</v>
      </c>
      <c r="ABE103" s="245" t="s">
        <v>63</v>
      </c>
      <c r="ABF103" s="248">
        <v>1173.08</v>
      </c>
      <c r="ABG103" s="249">
        <f>ABH88</f>
        <v>4837.7183473000014</v>
      </c>
      <c r="ABH103" s="250">
        <f>ABF103/ABG103</f>
        <v>0.2424862126698038</v>
      </c>
      <c r="ABI103" s="253">
        <f>'100% Occupancy'!C15</f>
        <v>0.53968139294174766</v>
      </c>
      <c r="ABJ103" s="270">
        <f>ABK88</f>
        <v>4741.2816526999986</v>
      </c>
      <c r="ABK103" s="172"/>
    </row>
    <row r="104" spans="569:752" x14ac:dyDescent="0.25">
      <c r="UW104" s="17" t="s">
        <v>74</v>
      </c>
      <c r="UX104">
        <v>20185.029485999999</v>
      </c>
      <c r="ABE104" s="245" t="s">
        <v>64</v>
      </c>
      <c r="ABF104" s="248">
        <v>1757.74</v>
      </c>
      <c r="ABG104" s="249">
        <f>ABH90</f>
        <v>6155.6408999999994</v>
      </c>
      <c r="ABH104" s="250">
        <f>ABF104/ABG104</f>
        <v>0.28554947056771945</v>
      </c>
      <c r="ABI104" s="253">
        <v>1</v>
      </c>
      <c r="ABJ104" s="270">
        <f>ABK90</f>
        <v>3786.8591000000006</v>
      </c>
      <c r="ABK104" s="172"/>
    </row>
    <row r="106" spans="569:752" ht="30" x14ac:dyDescent="0.25">
      <c r="ABE106" s="275" t="s">
        <v>66</v>
      </c>
      <c r="ABF106" s="248">
        <v>89.63</v>
      </c>
      <c r="ABG106" s="249">
        <f>ABG6</f>
        <v>839.4076000000299</v>
      </c>
      <c r="ABH106" s="250">
        <f>ABF106/ABG106</f>
        <v>0.10677768464330893</v>
      </c>
      <c r="ABI106" s="253">
        <f>'100% Occupancy'!$C$19</f>
        <v>0.03</v>
      </c>
      <c r="ABJ106" s="270">
        <f>ABK92</f>
        <v>0</v>
      </c>
    </row>
    <row r="108" spans="569:752" ht="15.75" thickBot="1" x14ac:dyDescent="0.3">
      <c r="ABE108" s="302" t="s">
        <v>187</v>
      </c>
      <c r="ABF108" s="251"/>
      <c r="ABG108" s="251"/>
      <c r="ABH108" s="252"/>
      <c r="ABI108" s="251"/>
      <c r="ABJ108" s="251"/>
    </row>
    <row r="109" spans="569:752" ht="30.75" thickBot="1" x14ac:dyDescent="0.3">
      <c r="ABE109" s="255" t="s">
        <v>155</v>
      </c>
      <c r="ABF109" s="256" t="s">
        <v>188</v>
      </c>
      <c r="ABG109" s="257" t="s">
        <v>181</v>
      </c>
      <c r="ABH109" s="256" t="s">
        <v>189</v>
      </c>
      <c r="ABI109" s="258" t="s">
        <v>190</v>
      </c>
    </row>
    <row r="110" spans="569:752" ht="15.75" thickBot="1" x14ac:dyDescent="0.3">
      <c r="ABE110" s="461" t="s">
        <v>186</v>
      </c>
      <c r="ABF110" s="259" t="s">
        <v>191</v>
      </c>
      <c r="ABG110" s="260">
        <v>1669.67</v>
      </c>
      <c r="ABH110" s="260">
        <v>6336.27</v>
      </c>
      <c r="ABI110" s="261">
        <f t="shared" ref="ABI110:ABI120" si="17">ABG110/ABH110</f>
        <v>0.26350991987399525</v>
      </c>
    </row>
    <row r="111" spans="569:752" ht="15.75" thickBot="1" x14ac:dyDescent="0.3">
      <c r="ABE111" s="462"/>
      <c r="ABF111" s="259" t="s">
        <v>192</v>
      </c>
      <c r="ABG111" s="260">
        <v>655.69</v>
      </c>
      <c r="ABH111" s="260">
        <v>664.01</v>
      </c>
      <c r="ABI111" s="261">
        <f t="shared" si="17"/>
        <v>0.98747006822186423</v>
      </c>
    </row>
    <row r="112" spans="569:752" ht="15.75" thickBot="1" x14ac:dyDescent="0.3">
      <c r="ABE112" s="463"/>
      <c r="ABF112" s="259" t="s">
        <v>193</v>
      </c>
      <c r="ABG112" s="266">
        <v>499.86</v>
      </c>
      <c r="ABH112" s="260">
        <v>937.21</v>
      </c>
      <c r="ABI112" s="261">
        <f t="shared" si="17"/>
        <v>0.5333489826186234</v>
      </c>
    </row>
    <row r="113" spans="733:746" ht="15.75" thickBot="1" x14ac:dyDescent="0.3">
      <c r="ABE113" s="461" t="s">
        <v>73</v>
      </c>
      <c r="ABF113" s="259" t="s">
        <v>194</v>
      </c>
      <c r="ABG113" s="266">
        <v>1134.95</v>
      </c>
      <c r="ABH113" s="260">
        <v>7816.11</v>
      </c>
      <c r="ABI113" s="261">
        <f t="shared" si="17"/>
        <v>0.14520650297910342</v>
      </c>
    </row>
    <row r="114" spans="733:746" ht="15.75" thickBot="1" x14ac:dyDescent="0.3">
      <c r="ABE114" s="463"/>
      <c r="ABF114" s="259" t="s">
        <v>195</v>
      </c>
      <c r="ABG114" s="266">
        <v>223.83</v>
      </c>
      <c r="ABH114" s="266">
        <v>407.04</v>
      </c>
      <c r="ABI114" s="261">
        <f t="shared" si="17"/>
        <v>0.54989681603773588</v>
      </c>
      <c r="ABR114" s="53"/>
    </row>
    <row r="115" spans="733:746" ht="15.75" thickBot="1" x14ac:dyDescent="0.3">
      <c r="ABE115" s="461" t="s">
        <v>63</v>
      </c>
      <c r="ABF115" s="259" t="s">
        <v>196</v>
      </c>
      <c r="ABG115" s="266">
        <v>402.63</v>
      </c>
      <c r="ABH115" s="260">
        <v>943.87</v>
      </c>
      <c r="ABI115" s="261">
        <f t="shared" si="17"/>
        <v>0.42657357475076019</v>
      </c>
    </row>
    <row r="116" spans="733:746" ht="15.75" thickBot="1" x14ac:dyDescent="0.3">
      <c r="ABE116" s="462"/>
      <c r="ABF116" s="259" t="s">
        <v>197</v>
      </c>
      <c r="ABG116" s="266">
        <v>183.67</v>
      </c>
      <c r="ABH116" s="266">
        <v>1385.91</v>
      </c>
      <c r="ABI116" s="261">
        <f t="shared" si="17"/>
        <v>0.13252664314421569</v>
      </c>
      <c r="ABK116" s="263"/>
      <c r="ABL116" s="263"/>
      <c r="ABM116" s="274"/>
    </row>
    <row r="117" spans="733:746" ht="15.75" thickBot="1" x14ac:dyDescent="0.3">
      <c r="ABE117" s="463"/>
      <c r="ABF117" s="259" t="s">
        <v>198</v>
      </c>
      <c r="ABG117" s="266">
        <v>139.69999999999999</v>
      </c>
      <c r="ABH117" s="266">
        <v>373.72</v>
      </c>
      <c r="ABI117" s="261">
        <f t="shared" si="17"/>
        <v>0.37380926897142241</v>
      </c>
    </row>
    <row r="118" spans="733:746" ht="15.75" thickBot="1" x14ac:dyDescent="0.3">
      <c r="ABE118" s="464" t="s">
        <v>64</v>
      </c>
      <c r="ABF118" s="259" t="s">
        <v>194</v>
      </c>
      <c r="ABG118" s="266">
        <v>1404.2</v>
      </c>
      <c r="ABH118" s="260">
        <v>6054.47</v>
      </c>
      <c r="ABI118" s="261">
        <f t="shared" si="17"/>
        <v>0.2319278153166173</v>
      </c>
      <c r="ABK118" s="263"/>
      <c r="ABL118" s="274"/>
      <c r="ABM118" s="274"/>
    </row>
    <row r="119" spans="733:746" ht="15.75" thickBot="1" x14ac:dyDescent="0.3">
      <c r="ABE119" s="462"/>
      <c r="ABF119" s="259" t="s">
        <v>199</v>
      </c>
      <c r="ABG119" s="266">
        <v>97.37</v>
      </c>
      <c r="ABH119" s="260">
        <v>806.55</v>
      </c>
      <c r="ABI119" s="261">
        <f t="shared" si="17"/>
        <v>0.12072407166325709</v>
      </c>
      <c r="ABL119" s="263"/>
    </row>
    <row r="120" spans="733:746" ht="15.75" thickBot="1" x14ac:dyDescent="0.3">
      <c r="ABE120" s="463"/>
      <c r="ABF120" s="259" t="s">
        <v>200</v>
      </c>
      <c r="ABG120" s="266">
        <v>95.57</v>
      </c>
      <c r="ABH120" s="266">
        <v>2563.92</v>
      </c>
      <c r="ABI120" s="261">
        <f t="shared" si="17"/>
        <v>3.7274953976723139E-2</v>
      </c>
    </row>
    <row r="121" spans="733:746" x14ac:dyDescent="0.25">
      <c r="ABE121" s="262"/>
      <c r="ABF121" s="263"/>
      <c r="ABG121" s="264"/>
      <c r="ABH121" s="264"/>
      <c r="ABI121" s="265"/>
    </row>
    <row r="122" spans="733:746" x14ac:dyDescent="0.25">
      <c r="ABE122" s="262"/>
      <c r="ABF122" s="263"/>
      <c r="ABG122" s="264"/>
      <c r="ABH122" s="264"/>
      <c r="ABI122" s="265"/>
    </row>
    <row r="123" spans="733:746" x14ac:dyDescent="0.25">
      <c r="ABE123" t="s">
        <v>201</v>
      </c>
    </row>
    <row r="124" spans="733:746" ht="15.75" thickBot="1" x14ac:dyDescent="0.3">
      <c r="ABE124" s="15" t="s">
        <v>202</v>
      </c>
      <c r="ABF124" s="112"/>
      <c r="ABG124" s="63"/>
      <c r="ABH124" s="51"/>
      <c r="ABI124" s="50"/>
    </row>
    <row r="125" spans="733:746" ht="39" thickBot="1" x14ac:dyDescent="0.3">
      <c r="ABE125" s="465" t="s">
        <v>1</v>
      </c>
      <c r="ABF125" s="466"/>
      <c r="ABG125" s="467"/>
      <c r="ABH125" s="55" t="s">
        <v>203</v>
      </c>
      <c r="ABI125" s="56" t="s">
        <v>204</v>
      </c>
    </row>
    <row r="126" spans="733:746" x14ac:dyDescent="0.25">
      <c r="ABE126" s="468" t="s">
        <v>205</v>
      </c>
      <c r="ABF126" s="469"/>
      <c r="ABG126" s="470"/>
      <c r="ABH126" s="64">
        <v>1000</v>
      </c>
      <c r="ABI126" s="65">
        <v>850</v>
      </c>
    </row>
    <row r="127" spans="733:746" x14ac:dyDescent="0.25">
      <c r="ABE127" s="455" t="s">
        <v>206</v>
      </c>
      <c r="ABF127" s="456"/>
      <c r="ABG127" s="457"/>
      <c r="ABH127" s="66">
        <v>4986</v>
      </c>
      <c r="ABI127" s="67">
        <v>1650</v>
      </c>
      <c r="ABJ127" s="72"/>
    </row>
    <row r="128" spans="733:746" x14ac:dyDescent="0.25">
      <c r="ABE128" s="455" t="s">
        <v>207</v>
      </c>
      <c r="ABF128" s="456"/>
      <c r="ABG128" s="457"/>
      <c r="ABH128" s="66">
        <v>400</v>
      </c>
      <c r="ABI128" s="67">
        <f>ABH128</f>
        <v>400</v>
      </c>
    </row>
    <row r="129" spans="733:737" x14ac:dyDescent="0.25">
      <c r="ABE129" s="455" t="s">
        <v>208</v>
      </c>
      <c r="ABF129" s="456"/>
      <c r="ABG129" s="457"/>
      <c r="ABH129" s="66">
        <v>200</v>
      </c>
      <c r="ABI129" s="67">
        <f>ABH129</f>
        <v>200</v>
      </c>
    </row>
    <row r="130" spans="733:737" ht="15.75" thickBot="1" x14ac:dyDescent="0.3">
      <c r="ABE130" s="458" t="s">
        <v>209</v>
      </c>
      <c r="ABF130" s="459"/>
      <c r="ABG130" s="460"/>
      <c r="ABH130" s="68">
        <v>500</v>
      </c>
      <c r="ABI130" s="69">
        <f>ABH130</f>
        <v>500</v>
      </c>
    </row>
    <row r="131" spans="733:737" ht="15.75" thickBot="1" x14ac:dyDescent="0.3">
      <c r="ABE131" s="303" t="s">
        <v>210</v>
      </c>
      <c r="ABF131" s="58"/>
      <c r="ABG131" s="59"/>
      <c r="ABH131" s="60"/>
      <c r="ABI131" s="61">
        <f>SUM(ABI126:ABI130)</f>
        <v>3600</v>
      </c>
    </row>
    <row r="160" spans="734:740" ht="15.75" thickBot="1" x14ac:dyDescent="0.3">
      <c r="ABF160" s="217" t="s">
        <v>155</v>
      </c>
      <c r="ABG160" s="7" t="s">
        <v>156</v>
      </c>
      <c r="ABH160" s="7" t="s">
        <v>157</v>
      </c>
      <c r="ABI160" s="7" t="s">
        <v>158</v>
      </c>
      <c r="ABJ160" s="7" t="s">
        <v>159</v>
      </c>
      <c r="ABK160" s="7" t="s">
        <v>160</v>
      </c>
      <c r="ABL160" s="7" t="s">
        <v>161</v>
      </c>
    </row>
    <row r="161" spans="734:740" ht="15.75" thickBot="1" x14ac:dyDescent="0.3">
      <c r="ABF161" s="217" t="s">
        <v>65</v>
      </c>
      <c r="ABG161" s="7" t="s">
        <v>47</v>
      </c>
      <c r="ABH161" s="208">
        <v>18000</v>
      </c>
      <c r="ABI161" s="208">
        <v>19286.8102</v>
      </c>
      <c r="ABJ161" s="207">
        <v>0</v>
      </c>
      <c r="ABK161" s="208">
        <v>900</v>
      </c>
      <c r="ABL161" s="207">
        <v>0</v>
      </c>
    </row>
    <row r="162" spans="734:740" ht="15.75" thickBot="1" x14ac:dyDescent="0.3">
      <c r="ABF162" s="217" t="s">
        <v>73</v>
      </c>
      <c r="ABG162" s="7" t="s">
        <v>47</v>
      </c>
      <c r="ABH162" s="208">
        <v>7500</v>
      </c>
      <c r="ABI162" s="208">
        <v>8187.0985000000001</v>
      </c>
      <c r="ABJ162" s="207">
        <v>0</v>
      </c>
      <c r="ABK162" s="208">
        <v>375</v>
      </c>
      <c r="ABL162" s="207">
        <v>0</v>
      </c>
    </row>
    <row r="163" spans="734:740" ht="15.75" thickBot="1" x14ac:dyDescent="0.3">
      <c r="ABF163" s="217" t="s">
        <v>63</v>
      </c>
      <c r="ABG163" s="7" t="s">
        <v>47</v>
      </c>
      <c r="ABH163" s="208">
        <v>9500</v>
      </c>
      <c r="ABI163" s="208">
        <v>8735.1530000000021</v>
      </c>
      <c r="ABJ163" s="208">
        <v>764.84699999999793</v>
      </c>
      <c r="ABK163" s="208">
        <v>764.84699999999793</v>
      </c>
      <c r="ABL163" s="207">
        <v>0</v>
      </c>
    </row>
    <row r="164" spans="734:740" ht="15.75" thickBot="1" x14ac:dyDescent="0.3">
      <c r="ABF164" s="217" t="s">
        <v>64</v>
      </c>
      <c r="ABG164" s="7" t="s">
        <v>47</v>
      </c>
      <c r="ABH164" s="208">
        <v>9500</v>
      </c>
      <c r="ABI164" s="208">
        <v>9383.5158999999985</v>
      </c>
      <c r="ABJ164" s="208">
        <v>116.48410000000149</v>
      </c>
      <c r="ABK164" s="208">
        <v>116.48410000000149</v>
      </c>
      <c r="ABL164" s="207">
        <v>0</v>
      </c>
    </row>
  </sheetData>
  <mergeCells count="18">
    <mergeCell ref="ABL84:ABM84"/>
    <mergeCell ref="ABL85:ABM85"/>
    <mergeCell ref="JX1:JX14"/>
    <mergeCell ref="ABL55:ABM55"/>
    <mergeCell ref="ABL56:ABM56"/>
    <mergeCell ref="ABE67:ABK67"/>
    <mergeCell ref="ABF69:ABF70"/>
    <mergeCell ref="ABG69:ABG70"/>
    <mergeCell ref="ABE127:ABG127"/>
    <mergeCell ref="ABE128:ABG128"/>
    <mergeCell ref="ABE129:ABG129"/>
    <mergeCell ref="ABE130:ABG130"/>
    <mergeCell ref="ABE110:ABE112"/>
    <mergeCell ref="ABE113:ABE114"/>
    <mergeCell ref="ABE115:ABE117"/>
    <mergeCell ref="ABE118:ABE120"/>
    <mergeCell ref="ABE125:ABG125"/>
    <mergeCell ref="ABE126:ABG126"/>
  </mergeCells>
  <conditionalFormatting sqref="DV3:JW3">
    <cfRule type="cellIs" dxfId="31" priority="2" operator="greaterThan">
      <formula>8500</formula>
    </cfRule>
  </conditionalFormatting>
  <conditionalFormatting sqref="GI20:GI47">
    <cfRule type="cellIs" dxfId="30" priority="3" operator="greaterThan">
      <formula>8500</formula>
    </cfRule>
  </conditionalFormatting>
  <conditionalFormatting sqref="KC3:KK3">
    <cfRule type="cellIs" dxfId="29" priority="4" operator="greaterThan">
      <formula>8500</formula>
    </cfRule>
  </conditionalFormatting>
  <conditionalFormatting sqref="KM3:KU3">
    <cfRule type="cellIs" dxfId="28" priority="1" operator="greaterThan">
      <formula>8500</formula>
    </cfRule>
  </conditionalFormatting>
  <pageMargins left="0.7" right="0.7" top="0.75" bottom="0.75" header="0.3" footer="0.3"/>
  <pageSetup paperSize="9" orientation="portrait" r:id="rId2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2CCAC-81C5-4023-A2E1-1432866847FE}">
  <sheetPr codeName="Sheet27">
    <tabColor theme="7" tint="0.39997558519241921"/>
  </sheetPr>
  <dimension ref="B2:R16"/>
  <sheetViews>
    <sheetView workbookViewId="0">
      <selection activeCell="K8" sqref="K8"/>
    </sheetView>
  </sheetViews>
  <sheetFormatPr defaultRowHeight="15" x14ac:dyDescent="0.25"/>
  <cols>
    <col min="3" max="3" width="8.85546875" customWidth="1"/>
    <col min="5" max="5" width="9.5703125" bestFit="1" customWidth="1"/>
    <col min="8" max="8" width="8.7109375" customWidth="1"/>
    <col min="9" max="9" width="15" bestFit="1" customWidth="1"/>
    <col min="12" max="12" width="8.140625" bestFit="1" customWidth="1"/>
    <col min="13" max="13" width="10.7109375" bestFit="1" customWidth="1"/>
  </cols>
  <sheetData>
    <row r="2" spans="2:18" x14ac:dyDescent="0.25">
      <c r="B2" s="480" t="s">
        <v>83</v>
      </c>
      <c r="C2" s="480"/>
      <c r="D2" s="480"/>
      <c r="E2" s="411">
        <f ca="1">TODAY()</f>
        <v>45132</v>
      </c>
    </row>
    <row r="3" spans="2:18" x14ac:dyDescent="0.25">
      <c r="P3" s="100"/>
    </row>
    <row r="4" spans="2:18" x14ac:dyDescent="0.25">
      <c r="B4" s="480" t="s">
        <v>211</v>
      </c>
      <c r="C4" s="480"/>
      <c r="D4" s="480"/>
      <c r="E4" s="480"/>
      <c r="P4" s="100"/>
      <c r="Q4" s="124"/>
    </row>
    <row r="5" spans="2:18" x14ac:dyDescent="0.25">
      <c r="B5" s="482" t="s">
        <v>212</v>
      </c>
      <c r="C5" s="482"/>
      <c r="D5" s="7" t="s">
        <v>81</v>
      </c>
      <c r="E5" s="7" t="s">
        <v>213</v>
      </c>
      <c r="F5" s="413">
        <v>8238</v>
      </c>
      <c r="R5" s="124"/>
    </row>
    <row r="6" spans="2:18" ht="45" x14ac:dyDescent="0.25">
      <c r="B6" s="482"/>
      <c r="C6" s="482"/>
      <c r="D6" s="483" t="s">
        <v>82</v>
      </c>
      <c r="E6" s="50" t="s">
        <v>214</v>
      </c>
      <c r="F6" s="431">
        <v>200</v>
      </c>
      <c r="R6" s="432"/>
    </row>
    <row r="7" spans="2:18" ht="30" x14ac:dyDescent="0.25">
      <c r="B7" s="482"/>
      <c r="C7" s="482"/>
      <c r="D7" s="484"/>
      <c r="E7" s="50" t="s">
        <v>215</v>
      </c>
      <c r="F7" s="431">
        <v>350</v>
      </c>
      <c r="R7" s="432"/>
    </row>
    <row r="8" spans="2:18" ht="45" x14ac:dyDescent="0.25">
      <c r="B8" s="482"/>
      <c r="C8" s="482"/>
      <c r="D8" s="484"/>
      <c r="E8" s="50" t="s">
        <v>216</v>
      </c>
      <c r="F8" s="431">
        <v>311</v>
      </c>
      <c r="R8" s="432"/>
    </row>
    <row r="9" spans="2:18" x14ac:dyDescent="0.25">
      <c r="B9" s="482"/>
      <c r="C9" s="482"/>
      <c r="D9" s="485"/>
      <c r="E9" s="7" t="s">
        <v>171</v>
      </c>
      <c r="F9" s="7">
        <f>SUM(F6:F8)</f>
        <v>861</v>
      </c>
      <c r="R9" s="124"/>
    </row>
    <row r="11" spans="2:18" x14ac:dyDescent="0.25">
      <c r="B11" s="480" t="s">
        <v>217</v>
      </c>
      <c r="C11" s="480"/>
      <c r="D11" s="412" t="s">
        <v>218</v>
      </c>
      <c r="E11" s="412" t="s">
        <v>219</v>
      </c>
      <c r="F11" s="412" t="s">
        <v>50</v>
      </c>
      <c r="G11" s="412" t="s">
        <v>220</v>
      </c>
      <c r="H11" s="412" t="s">
        <v>52</v>
      </c>
      <c r="I11" s="412" t="s">
        <v>123</v>
      </c>
      <c r="J11" s="412" t="s">
        <v>82</v>
      </c>
      <c r="K11" s="412"/>
      <c r="L11" s="412" t="s">
        <v>221</v>
      </c>
      <c r="M11" s="412" t="s">
        <v>222</v>
      </c>
    </row>
    <row r="12" spans="2:18" x14ac:dyDescent="0.25">
      <c r="B12" s="481" t="s">
        <v>104</v>
      </c>
      <c r="C12" s="481"/>
      <c r="D12" s="10">
        <f>'All WH'!AIK2</f>
        <v>4837.7183473000014</v>
      </c>
      <c r="E12" s="10">
        <f>'All WH'!AIK4</f>
        <v>6155.6408999999994</v>
      </c>
      <c r="F12" s="10">
        <f>'All WH'!AIK5</f>
        <v>8773.6718999999994</v>
      </c>
      <c r="G12" s="10">
        <f>'All WH'!AIK8</f>
        <v>7676.0394999999999</v>
      </c>
      <c r="H12" s="7"/>
      <c r="I12" s="10">
        <f>'All WH'!AIK9</f>
        <v>9169</v>
      </c>
      <c r="J12" s="10">
        <f>'All WH'!AIK10</f>
        <v>861</v>
      </c>
      <c r="K12" s="7"/>
      <c r="L12" s="7"/>
      <c r="M12" s="10">
        <f>'All WH'!AIK7</f>
        <v>3114.8409999999999</v>
      </c>
    </row>
    <row r="15" spans="2:18" x14ac:dyDescent="0.25">
      <c r="B15" s="480" t="s">
        <v>217</v>
      </c>
      <c r="C15" s="480"/>
      <c r="D15" s="412" t="s">
        <v>50</v>
      </c>
      <c r="E15" s="412" t="s">
        <v>220</v>
      </c>
      <c r="F15" s="412" t="s">
        <v>218</v>
      </c>
      <c r="G15" s="412" t="s">
        <v>223</v>
      </c>
      <c r="H15" s="412" t="s">
        <v>219</v>
      </c>
      <c r="I15" s="412" t="s">
        <v>171</v>
      </c>
    </row>
    <row r="16" spans="2:18" x14ac:dyDescent="0.25">
      <c r="B16" s="481" t="s">
        <v>161</v>
      </c>
      <c r="C16" s="481"/>
      <c r="D16" s="10">
        <f>'All WH'!AIO87</f>
        <v>11596.328100000001</v>
      </c>
      <c r="E16" s="10" t="str">
        <f>'All WH'!AIO88</f>
        <v>0</v>
      </c>
      <c r="F16" s="10">
        <f>'All WH'!AIO89</f>
        <v>4741.2816526999986</v>
      </c>
      <c r="G16" s="10">
        <f>'All WH'!AIO90</f>
        <v>60.560633300000141</v>
      </c>
      <c r="H16" s="10">
        <f>'All WH'!AIO91</f>
        <v>3786.8591000000006</v>
      </c>
      <c r="I16" s="10">
        <f>'All WH'!AIO92</f>
        <v>20185.029485999999</v>
      </c>
    </row>
  </sheetData>
  <mergeCells count="8">
    <mergeCell ref="B2:D2"/>
    <mergeCell ref="B15:C15"/>
    <mergeCell ref="B16:C16"/>
    <mergeCell ref="B5:C9"/>
    <mergeCell ref="B4:E4"/>
    <mergeCell ref="B12:C12"/>
    <mergeCell ref="B11:C11"/>
    <mergeCell ref="D6:D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2F9ED-484A-46CD-A46F-2D6A8AF63E2B}">
  <sheetPr codeName="Sheet22"/>
  <dimension ref="A1:L178"/>
  <sheetViews>
    <sheetView topLeftCell="A157" workbookViewId="0">
      <selection activeCell="C188" sqref="C188"/>
    </sheetView>
  </sheetViews>
  <sheetFormatPr defaultRowHeight="15" x14ac:dyDescent="0.25"/>
  <cols>
    <col min="3" max="3" width="10.5703125" bestFit="1" customWidth="1"/>
    <col min="4" max="4" width="9.7109375" bestFit="1" customWidth="1"/>
    <col min="6" max="6" width="9.7109375" bestFit="1" customWidth="1"/>
    <col min="7" max="7" width="9" bestFit="1" customWidth="1"/>
    <col min="8" max="9" width="10" customWidth="1"/>
    <col min="11" max="11" width="27.85546875" bestFit="1" customWidth="1"/>
    <col min="12" max="12" width="5.28515625" bestFit="1" customWidth="1"/>
    <col min="13" max="13" width="7" bestFit="1" customWidth="1"/>
    <col min="14" max="14" width="10.7109375" bestFit="1" customWidth="1"/>
    <col min="15" max="38" width="15.5703125" bestFit="1" customWidth="1"/>
    <col min="39" max="39" width="6.7109375" bestFit="1" customWidth="1"/>
    <col min="40" max="40" width="9" bestFit="1" customWidth="1"/>
    <col min="41" max="41" width="11.7109375" bestFit="1" customWidth="1"/>
    <col min="42" max="42" width="10.7109375" bestFit="1" customWidth="1"/>
  </cols>
  <sheetData>
    <row r="1" spans="1:12" ht="60" x14ac:dyDescent="0.25">
      <c r="A1" s="414" t="s">
        <v>224</v>
      </c>
      <c r="B1" s="414" t="s">
        <v>225</v>
      </c>
      <c r="C1" s="414" t="s">
        <v>83</v>
      </c>
      <c r="D1" s="415" t="s">
        <v>65</v>
      </c>
      <c r="E1" s="415" t="s">
        <v>73</v>
      </c>
      <c r="F1" s="415" t="s">
        <v>63</v>
      </c>
      <c r="G1" s="415" t="s">
        <v>68</v>
      </c>
      <c r="H1" s="425" t="s">
        <v>64</v>
      </c>
      <c r="I1" s="430" t="s">
        <v>210</v>
      </c>
      <c r="K1" s="194" t="s">
        <v>225</v>
      </c>
      <c r="L1" s="17">
        <v>50</v>
      </c>
    </row>
    <row r="2" spans="1:12" x14ac:dyDescent="0.25">
      <c r="A2" s="7" t="str">
        <f>TEXT(C2,"yyyy")</f>
        <v>2022</v>
      </c>
      <c r="B2" s="7">
        <f>WEEKNUM(C2)</f>
        <v>44</v>
      </c>
      <c r="C2" s="94">
        <v>44859</v>
      </c>
      <c r="D2" s="173">
        <v>3737</v>
      </c>
      <c r="E2" s="173">
        <v>0</v>
      </c>
      <c r="F2" s="173">
        <v>3915</v>
      </c>
      <c r="G2" s="173">
        <v>86</v>
      </c>
      <c r="H2" s="426">
        <v>2734</v>
      </c>
      <c r="I2" s="173">
        <v>10472</v>
      </c>
    </row>
    <row r="3" spans="1:12" x14ac:dyDescent="0.25">
      <c r="A3" s="7" t="str">
        <f t="shared" ref="A3:A66" si="0">TEXT(C3,"yyyy")</f>
        <v>2022</v>
      </c>
      <c r="B3" s="7">
        <f t="shared" ref="B3:B19" si="1">WEEKNUM(C3)</f>
        <v>44</v>
      </c>
      <c r="C3" s="94">
        <v>44860</v>
      </c>
      <c r="D3" s="173">
        <v>3706</v>
      </c>
      <c r="E3" s="173">
        <v>0</v>
      </c>
      <c r="F3" s="173">
        <v>3618</v>
      </c>
      <c r="G3" s="173">
        <v>86</v>
      </c>
      <c r="H3" s="426">
        <v>2424</v>
      </c>
      <c r="I3" s="173">
        <v>9832</v>
      </c>
      <c r="K3" s="194" t="s">
        <v>226</v>
      </c>
    </row>
    <row r="4" spans="1:12" x14ac:dyDescent="0.25">
      <c r="A4" s="7" t="str">
        <f t="shared" si="0"/>
        <v>2022</v>
      </c>
      <c r="B4" s="7">
        <f t="shared" si="1"/>
        <v>44</v>
      </c>
      <c r="C4" s="94">
        <v>44861</v>
      </c>
      <c r="D4" s="173">
        <v>3682</v>
      </c>
      <c r="E4" s="173">
        <v>0</v>
      </c>
      <c r="F4" s="173">
        <v>3536</v>
      </c>
      <c r="G4" s="173">
        <v>85</v>
      </c>
      <c r="H4" s="426">
        <v>2191</v>
      </c>
      <c r="I4" s="173">
        <v>9494</v>
      </c>
      <c r="K4" s="17" t="s">
        <v>227</v>
      </c>
      <c r="L4" s="122">
        <v>6437.9433749999989</v>
      </c>
    </row>
    <row r="5" spans="1:12" x14ac:dyDescent="0.25">
      <c r="A5" s="7" t="str">
        <f t="shared" si="0"/>
        <v>2022</v>
      </c>
      <c r="B5" s="7">
        <f t="shared" si="1"/>
        <v>44</v>
      </c>
      <c r="C5" s="94">
        <v>44862</v>
      </c>
      <c r="D5" s="173">
        <v>3664</v>
      </c>
      <c r="E5" s="173">
        <v>0</v>
      </c>
      <c r="F5" s="173">
        <v>3621</v>
      </c>
      <c r="G5" s="173">
        <v>87</v>
      </c>
      <c r="H5" s="426">
        <v>2099</v>
      </c>
      <c r="I5" s="173">
        <v>9110</v>
      </c>
      <c r="K5" s="17" t="s">
        <v>228</v>
      </c>
      <c r="L5" s="122">
        <v>0</v>
      </c>
    </row>
    <row r="6" spans="1:12" x14ac:dyDescent="0.25">
      <c r="A6" s="7" t="str">
        <f t="shared" si="0"/>
        <v>2022</v>
      </c>
      <c r="B6" s="7">
        <f t="shared" si="1"/>
        <v>45</v>
      </c>
      <c r="C6" s="94">
        <v>44865</v>
      </c>
      <c r="D6" s="173">
        <v>4444</v>
      </c>
      <c r="E6" s="384">
        <v>0</v>
      </c>
      <c r="F6" s="173">
        <v>3118</v>
      </c>
      <c r="G6" s="384">
        <v>87</v>
      </c>
      <c r="H6" s="426">
        <v>2032</v>
      </c>
      <c r="I6" s="173">
        <v>9681</v>
      </c>
      <c r="K6" s="17" t="s">
        <v>229</v>
      </c>
      <c r="L6" s="122">
        <v>3606.8057035250004</v>
      </c>
    </row>
    <row r="7" spans="1:12" x14ac:dyDescent="0.25">
      <c r="A7" s="7" t="str">
        <f t="shared" si="0"/>
        <v>2022</v>
      </c>
      <c r="B7" s="7">
        <f t="shared" si="1"/>
        <v>45</v>
      </c>
      <c r="C7" s="94">
        <v>44866</v>
      </c>
      <c r="D7" s="173">
        <v>5119</v>
      </c>
      <c r="E7" s="384">
        <v>0</v>
      </c>
      <c r="F7" s="173">
        <v>3035</v>
      </c>
      <c r="G7" s="384">
        <v>86</v>
      </c>
      <c r="H7" s="426">
        <v>1930</v>
      </c>
      <c r="I7" s="173">
        <v>10170</v>
      </c>
      <c r="K7" s="17" t="s">
        <v>230</v>
      </c>
      <c r="L7" s="122">
        <v>87.723496475000005</v>
      </c>
    </row>
    <row r="8" spans="1:12" x14ac:dyDescent="0.25">
      <c r="A8" s="7" t="str">
        <f t="shared" si="0"/>
        <v>2022</v>
      </c>
      <c r="B8" s="7">
        <f t="shared" si="1"/>
        <v>45</v>
      </c>
      <c r="C8" s="94">
        <v>44867</v>
      </c>
      <c r="D8" s="173">
        <v>4985</v>
      </c>
      <c r="E8" s="384">
        <v>0</v>
      </c>
      <c r="F8" s="173">
        <v>3163</v>
      </c>
      <c r="G8" s="384">
        <v>85</v>
      </c>
      <c r="H8" s="426">
        <v>1833</v>
      </c>
      <c r="I8" s="173">
        <v>10066</v>
      </c>
      <c r="K8" s="17" t="s">
        <v>231</v>
      </c>
      <c r="L8" s="122">
        <v>1708.4339249999998</v>
      </c>
    </row>
    <row r="9" spans="1:12" x14ac:dyDescent="0.25">
      <c r="A9" s="7" t="str">
        <f t="shared" si="0"/>
        <v>2022</v>
      </c>
      <c r="B9" s="7">
        <f t="shared" si="1"/>
        <v>45</v>
      </c>
      <c r="C9" s="94">
        <v>44868</v>
      </c>
      <c r="D9" s="173">
        <v>5230</v>
      </c>
      <c r="E9" s="384">
        <v>0</v>
      </c>
      <c r="F9" s="173">
        <v>3202</v>
      </c>
      <c r="G9" s="384">
        <v>87</v>
      </c>
      <c r="H9" s="426">
        <v>1768</v>
      </c>
      <c r="I9" s="173">
        <v>10288</v>
      </c>
    </row>
    <row r="10" spans="1:12" x14ac:dyDescent="0.25">
      <c r="A10" s="7" t="str">
        <f t="shared" si="0"/>
        <v>2022</v>
      </c>
      <c r="B10" s="7">
        <f t="shared" si="1"/>
        <v>45</v>
      </c>
      <c r="C10" s="94">
        <v>44869</v>
      </c>
      <c r="D10" s="173">
        <v>5154</v>
      </c>
      <c r="E10" s="384">
        <v>0</v>
      </c>
      <c r="F10" s="173">
        <v>2959</v>
      </c>
      <c r="G10" s="384">
        <v>87</v>
      </c>
      <c r="H10" s="426">
        <v>1813</v>
      </c>
      <c r="I10" s="173">
        <v>10013</v>
      </c>
    </row>
    <row r="11" spans="1:12" x14ac:dyDescent="0.25">
      <c r="A11" s="7" t="str">
        <f t="shared" si="0"/>
        <v>2022</v>
      </c>
      <c r="B11" s="7">
        <f t="shared" si="1"/>
        <v>46</v>
      </c>
      <c r="C11" s="94">
        <v>44873</v>
      </c>
      <c r="D11" s="10">
        <v>5517</v>
      </c>
      <c r="E11" s="7">
        <v>0</v>
      </c>
      <c r="F11" s="10">
        <v>3068</v>
      </c>
      <c r="G11" s="10">
        <v>87</v>
      </c>
      <c r="H11" s="95">
        <v>1963</v>
      </c>
      <c r="I11" s="173">
        <v>10636</v>
      </c>
    </row>
    <row r="12" spans="1:12" x14ac:dyDescent="0.25">
      <c r="A12" s="7" t="str">
        <f t="shared" si="0"/>
        <v>2022</v>
      </c>
      <c r="B12" s="7">
        <f t="shared" si="1"/>
        <v>46</v>
      </c>
      <c r="C12" s="94">
        <v>44874</v>
      </c>
      <c r="D12" s="10">
        <v>5694.5284000000001</v>
      </c>
      <c r="E12" s="10">
        <v>0</v>
      </c>
      <c r="F12" s="10">
        <v>3193.5739640000002</v>
      </c>
      <c r="G12" s="10">
        <v>87.063736000000006</v>
      </c>
      <c r="H12" s="95">
        <v>1853.502</v>
      </c>
      <c r="I12" s="173">
        <f>SUM(D12:H12)</f>
        <v>10828.668100000001</v>
      </c>
    </row>
    <row r="13" spans="1:12" x14ac:dyDescent="0.25">
      <c r="A13" s="7" t="str">
        <f t="shared" si="0"/>
        <v>2022</v>
      </c>
      <c r="B13" s="7">
        <f t="shared" si="1"/>
        <v>46</v>
      </c>
      <c r="C13" s="94">
        <v>44875</v>
      </c>
      <c r="D13" s="10">
        <v>5493.4440000000004</v>
      </c>
      <c r="E13" s="10">
        <v>0</v>
      </c>
      <c r="F13" s="10">
        <v>3503.5715639999999</v>
      </c>
      <c r="G13" s="10">
        <v>87.063736000000006</v>
      </c>
      <c r="H13" s="95">
        <v>1633.5740000000001</v>
      </c>
      <c r="I13" s="173">
        <f t="shared" ref="I13:I16" si="2">SUM(D13:H13)</f>
        <v>10717.653300000002</v>
      </c>
    </row>
    <row r="14" spans="1:12" x14ac:dyDescent="0.25">
      <c r="A14" s="7" t="str">
        <f t="shared" si="0"/>
        <v>2022</v>
      </c>
      <c r="B14" s="7">
        <f t="shared" si="1"/>
        <v>46</v>
      </c>
      <c r="C14" s="94">
        <v>44876</v>
      </c>
      <c r="D14" s="10">
        <v>5010.1535000000003</v>
      </c>
      <c r="E14" s="10">
        <v>0</v>
      </c>
      <c r="F14" s="10">
        <v>3603.2228639999998</v>
      </c>
      <c r="G14" s="10">
        <v>87.063736000000006</v>
      </c>
      <c r="H14" s="95">
        <v>1493.806</v>
      </c>
      <c r="I14" s="173">
        <f t="shared" si="2"/>
        <v>10194.2461</v>
      </c>
    </row>
    <row r="15" spans="1:12" x14ac:dyDescent="0.25">
      <c r="A15" s="7" t="str">
        <f t="shared" si="0"/>
        <v>2022</v>
      </c>
      <c r="B15" s="7">
        <f t="shared" si="1"/>
        <v>47</v>
      </c>
      <c r="C15" s="94">
        <v>44879</v>
      </c>
      <c r="D15" s="10">
        <v>5403.9971999999998</v>
      </c>
      <c r="E15" s="10">
        <v>0</v>
      </c>
      <c r="F15" s="10">
        <v>3455.1154552000007</v>
      </c>
      <c r="G15" s="10">
        <v>86.198244799999955</v>
      </c>
      <c r="H15" s="427">
        <v>1897</v>
      </c>
      <c r="I15" s="173">
        <f t="shared" si="2"/>
        <v>10842.3109</v>
      </c>
    </row>
    <row r="16" spans="1:12" x14ac:dyDescent="0.25">
      <c r="A16" s="7" t="str">
        <f t="shared" si="0"/>
        <v>2022</v>
      </c>
      <c r="B16" s="7">
        <f t="shared" si="1"/>
        <v>47</v>
      </c>
      <c r="C16" s="94">
        <v>44880</v>
      </c>
      <c r="D16" s="10">
        <v>5277.0668000000005</v>
      </c>
      <c r="E16" s="10">
        <v>0</v>
      </c>
      <c r="F16" s="10">
        <v>3340.4197552000014</v>
      </c>
      <c r="G16" s="10">
        <v>86.198244799999955</v>
      </c>
      <c r="H16" s="95">
        <v>1380.2560999999987</v>
      </c>
      <c r="I16" s="173">
        <f t="shared" si="2"/>
        <v>10083.9409</v>
      </c>
    </row>
    <row r="17" spans="1:9" x14ac:dyDescent="0.25">
      <c r="A17" s="7" t="str">
        <f t="shared" si="0"/>
        <v>2022</v>
      </c>
      <c r="B17" s="7">
        <f t="shared" si="1"/>
        <v>47</v>
      </c>
      <c r="C17" s="94">
        <v>44881</v>
      </c>
      <c r="D17" s="380">
        <v>5517</v>
      </c>
      <c r="E17" s="10">
        <v>0</v>
      </c>
      <c r="F17" s="380">
        <v>3068</v>
      </c>
      <c r="G17" s="10">
        <v>87</v>
      </c>
      <c r="H17" s="95">
        <v>1963</v>
      </c>
      <c r="I17" s="173">
        <v>10034</v>
      </c>
    </row>
    <row r="18" spans="1:9" x14ac:dyDescent="0.25">
      <c r="A18" s="7" t="str">
        <f t="shared" si="0"/>
        <v>2022</v>
      </c>
      <c r="B18" s="7">
        <f t="shared" si="1"/>
        <v>47</v>
      </c>
      <c r="C18" s="94">
        <v>44882</v>
      </c>
      <c r="D18" s="10">
        <v>5305.4051000000018</v>
      </c>
      <c r="E18" s="10">
        <v>0</v>
      </c>
      <c r="F18" s="10">
        <v>3379.2475640000002</v>
      </c>
      <c r="G18" s="10">
        <v>87.195635999999979</v>
      </c>
      <c r="H18" s="95">
        <v>1290.372000000003</v>
      </c>
      <c r="I18" s="173">
        <v>10062</v>
      </c>
    </row>
    <row r="19" spans="1:9" x14ac:dyDescent="0.25">
      <c r="A19" s="7" t="str">
        <f t="shared" si="0"/>
        <v>2022</v>
      </c>
      <c r="B19" s="7">
        <f t="shared" si="1"/>
        <v>47</v>
      </c>
      <c r="C19" s="94">
        <v>44883</v>
      </c>
      <c r="D19" s="10">
        <v>5748.6801999999989</v>
      </c>
      <c r="E19" s="10">
        <v>0</v>
      </c>
      <c r="F19" s="10">
        <v>3333.0017739999994</v>
      </c>
      <c r="G19" s="10">
        <v>87.110026000000005</v>
      </c>
      <c r="H19" s="95">
        <v>1172.3910000000033</v>
      </c>
      <c r="I19" s="173">
        <v>10341</v>
      </c>
    </row>
    <row r="20" spans="1:9" x14ac:dyDescent="0.25">
      <c r="A20" s="7" t="str">
        <f t="shared" si="0"/>
        <v>2022</v>
      </c>
      <c r="B20" s="7">
        <f>WEEKNUM(C20)</f>
        <v>48</v>
      </c>
      <c r="C20" s="94">
        <v>44886</v>
      </c>
      <c r="D20" s="10">
        <v>5647.1309000000037</v>
      </c>
      <c r="E20" s="10">
        <v>0</v>
      </c>
      <c r="F20" s="10">
        <v>3221.4635739999994</v>
      </c>
      <c r="G20" s="10">
        <v>87.110026000000005</v>
      </c>
      <c r="H20" s="95">
        <v>1268.3950999999997</v>
      </c>
      <c r="I20" s="173">
        <v>10224</v>
      </c>
    </row>
    <row r="21" spans="1:9" x14ac:dyDescent="0.25">
      <c r="A21" s="7" t="str">
        <f t="shared" si="0"/>
        <v>2022</v>
      </c>
      <c r="B21" s="7">
        <f t="shared" ref="B21:B24" si="3">WEEKNUM(C21)</f>
        <v>48</v>
      </c>
      <c r="C21" s="94">
        <v>44887</v>
      </c>
      <c r="D21" s="10">
        <v>5314.8812999999991</v>
      </c>
      <c r="E21" s="10">
        <v>0</v>
      </c>
      <c r="F21" s="10">
        <v>3331.3582059999999</v>
      </c>
      <c r="G21" s="10">
        <v>87.54589399999999</v>
      </c>
      <c r="H21" s="95">
        <v>1168.6990999999998</v>
      </c>
      <c r="I21" s="173">
        <v>9902</v>
      </c>
    </row>
    <row r="22" spans="1:9" x14ac:dyDescent="0.25">
      <c r="A22" s="7" t="str">
        <f t="shared" si="0"/>
        <v>2022</v>
      </c>
      <c r="B22" s="7">
        <f t="shared" si="3"/>
        <v>48</v>
      </c>
      <c r="C22" s="94">
        <v>44888</v>
      </c>
      <c r="D22" s="10">
        <v>5266.2792000000009</v>
      </c>
      <c r="E22" s="10">
        <v>0</v>
      </c>
      <c r="F22" s="10">
        <v>3310.6593300000004</v>
      </c>
      <c r="G22" s="10">
        <v>86.928069999999991</v>
      </c>
      <c r="H22" s="95">
        <v>1029.7079999999987</v>
      </c>
      <c r="I22" s="173">
        <v>9694</v>
      </c>
    </row>
    <row r="23" spans="1:9" x14ac:dyDescent="0.25">
      <c r="A23" s="7" t="str">
        <f t="shared" si="0"/>
        <v>2022</v>
      </c>
      <c r="B23" s="7">
        <f t="shared" si="3"/>
        <v>48</v>
      </c>
      <c r="C23" s="94">
        <v>44889</v>
      </c>
      <c r="D23" s="10">
        <v>5125.7390000000014</v>
      </c>
      <c r="E23" s="10">
        <v>0</v>
      </c>
      <c r="F23" s="10">
        <v>3294.1029300000009</v>
      </c>
      <c r="G23" s="10">
        <v>86.928069999999991</v>
      </c>
      <c r="H23" s="95">
        <v>1028.8851000000013</v>
      </c>
      <c r="I23" s="173">
        <v>9536</v>
      </c>
    </row>
    <row r="24" spans="1:9" x14ac:dyDescent="0.25">
      <c r="A24" s="7" t="str">
        <f t="shared" si="0"/>
        <v>2022</v>
      </c>
      <c r="B24" s="7">
        <f t="shared" si="3"/>
        <v>48</v>
      </c>
      <c r="C24" s="94">
        <v>44890</v>
      </c>
      <c r="D24" s="10">
        <v>5647.7109</v>
      </c>
      <c r="E24" s="10">
        <v>0</v>
      </c>
      <c r="F24" s="10">
        <v>3414.6021838999977</v>
      </c>
      <c r="G24" s="10">
        <v>87.753816099999995</v>
      </c>
      <c r="H24" s="95">
        <v>1017.2301000000007</v>
      </c>
      <c r="I24" s="173">
        <v>10167</v>
      </c>
    </row>
    <row r="25" spans="1:9" x14ac:dyDescent="0.25">
      <c r="A25" s="7" t="str">
        <f t="shared" si="0"/>
        <v>2022</v>
      </c>
      <c r="B25" s="7">
        <v>49</v>
      </c>
      <c r="C25" s="94">
        <v>44893</v>
      </c>
      <c r="D25" s="10">
        <v>5901.5324999999975</v>
      </c>
      <c r="E25" s="10">
        <v>0</v>
      </c>
      <c r="F25" s="10">
        <v>3332.5169551999998</v>
      </c>
      <c r="G25" s="10">
        <v>86.960044800000006</v>
      </c>
      <c r="H25" s="95">
        <v>1501.4901000000009</v>
      </c>
      <c r="I25" s="173">
        <v>10822</v>
      </c>
    </row>
    <row r="26" spans="1:9" x14ac:dyDescent="0.25">
      <c r="A26" s="7" t="str">
        <f t="shared" si="0"/>
        <v>2022</v>
      </c>
      <c r="B26" s="7">
        <v>49</v>
      </c>
      <c r="C26" s="94">
        <v>44894</v>
      </c>
      <c r="D26" s="10">
        <v>5782.8629999999976</v>
      </c>
      <c r="E26" s="10">
        <v>0</v>
      </c>
      <c r="F26" s="10">
        <v>3288.8511080000007</v>
      </c>
      <c r="G26" s="10">
        <v>87.87829200000003</v>
      </c>
      <c r="H26" s="95">
        <v>1343.6620999999996</v>
      </c>
      <c r="I26" s="173">
        <f>SUM(D26:H26)</f>
        <v>10503.254499999997</v>
      </c>
    </row>
    <row r="27" spans="1:9" x14ac:dyDescent="0.25">
      <c r="A27" s="7" t="str">
        <f t="shared" si="0"/>
        <v>2022</v>
      </c>
      <c r="B27" s="7">
        <v>49</v>
      </c>
      <c r="C27" s="94">
        <v>44895</v>
      </c>
      <c r="D27" s="10">
        <v>5688.9015999999974</v>
      </c>
      <c r="E27" s="10">
        <v>0</v>
      </c>
      <c r="F27" s="10">
        <v>3424.1569580000005</v>
      </c>
      <c r="G27" s="10">
        <v>88.06064200000003</v>
      </c>
      <c r="H27" s="95">
        <v>1462.5731000000014</v>
      </c>
      <c r="I27" s="173">
        <v>10664</v>
      </c>
    </row>
    <row r="28" spans="1:9" x14ac:dyDescent="0.25">
      <c r="A28" s="7" t="str">
        <f t="shared" si="0"/>
        <v>2022</v>
      </c>
      <c r="B28" s="7">
        <v>49</v>
      </c>
      <c r="C28" s="94">
        <v>44896</v>
      </c>
      <c r="D28" s="10">
        <v>5652.4049999999988</v>
      </c>
      <c r="E28" s="10">
        <v>0</v>
      </c>
      <c r="F28" s="10">
        <v>3447.0552579999985</v>
      </c>
      <c r="G28" s="10">
        <v>88.060642000000016</v>
      </c>
      <c r="H28" s="95">
        <v>1414.824099999998</v>
      </c>
      <c r="I28" s="173">
        <v>10602</v>
      </c>
    </row>
    <row r="29" spans="1:9" x14ac:dyDescent="0.25">
      <c r="A29" s="7" t="str">
        <f t="shared" si="0"/>
        <v>2022</v>
      </c>
      <c r="B29" s="7">
        <v>49</v>
      </c>
      <c r="C29" s="94">
        <v>44897</v>
      </c>
      <c r="D29" s="10">
        <v>5876.4450999999972</v>
      </c>
      <c r="E29" s="10">
        <v>0</v>
      </c>
      <c r="F29" s="10">
        <v>3322.931607999999</v>
      </c>
      <c r="G29" s="10">
        <v>87.87829200000003</v>
      </c>
      <c r="H29" s="95">
        <v>1493.6900999999998</v>
      </c>
      <c r="I29" s="173">
        <f>SUM(D29:H29)</f>
        <v>10780.945099999995</v>
      </c>
    </row>
    <row r="30" spans="1:9" x14ac:dyDescent="0.25">
      <c r="A30" s="7" t="str">
        <f t="shared" si="0"/>
        <v>2022</v>
      </c>
      <c r="B30" s="7">
        <v>50</v>
      </c>
      <c r="C30" s="94">
        <v>44900</v>
      </c>
      <c r="D30" s="10">
        <v>6473.1258999999973</v>
      </c>
      <c r="E30" s="10">
        <v>0</v>
      </c>
      <c r="F30" s="10">
        <v>3438.5882080000001</v>
      </c>
      <c r="G30" s="10">
        <v>87.87829200000003</v>
      </c>
      <c r="H30" s="95">
        <v>1845.1135999999988</v>
      </c>
      <c r="I30" s="173">
        <v>11845</v>
      </c>
    </row>
    <row r="31" spans="1:9" x14ac:dyDescent="0.25">
      <c r="A31" s="7" t="str">
        <f t="shared" si="0"/>
        <v>2022</v>
      </c>
      <c r="B31" s="7">
        <v>50</v>
      </c>
      <c r="C31" s="94">
        <v>44901</v>
      </c>
      <c r="D31" s="10">
        <v>6361</v>
      </c>
      <c r="E31" s="10">
        <v>0</v>
      </c>
      <c r="F31" s="10">
        <v>3478</v>
      </c>
      <c r="G31" s="10">
        <v>88</v>
      </c>
      <c r="H31" s="95">
        <v>1751</v>
      </c>
      <c r="I31" s="173">
        <v>11678</v>
      </c>
    </row>
    <row r="32" spans="1:9" x14ac:dyDescent="0.25">
      <c r="A32" s="7" t="str">
        <f t="shared" si="0"/>
        <v>2022</v>
      </c>
      <c r="B32" s="7">
        <v>50</v>
      </c>
      <c r="C32" s="94">
        <v>44903</v>
      </c>
      <c r="D32" s="10">
        <v>6447.6391999999996</v>
      </c>
      <c r="E32" s="10">
        <v>0</v>
      </c>
      <c r="F32" s="10">
        <v>3557.0024081000001</v>
      </c>
      <c r="G32" s="10">
        <v>87.118991899999983</v>
      </c>
      <c r="H32" s="95">
        <v>1743.0175000000017</v>
      </c>
      <c r="I32" s="173">
        <v>11835</v>
      </c>
    </row>
    <row r="33" spans="1:11" x14ac:dyDescent="0.25">
      <c r="A33" s="7" t="str">
        <f t="shared" si="0"/>
        <v>2022</v>
      </c>
      <c r="B33" s="7">
        <v>50</v>
      </c>
      <c r="C33" s="94">
        <v>44904</v>
      </c>
      <c r="D33" s="10">
        <v>6470.0084000000006</v>
      </c>
      <c r="E33" s="7">
        <v>0</v>
      </c>
      <c r="F33" s="10">
        <v>3953.6321979999993</v>
      </c>
      <c r="G33" s="10">
        <v>87.896702000000019</v>
      </c>
      <c r="H33" s="95">
        <v>1494.6045999999988</v>
      </c>
      <c r="I33" s="173">
        <v>12006</v>
      </c>
    </row>
    <row r="34" spans="1:11" x14ac:dyDescent="0.25">
      <c r="A34" s="7" t="str">
        <f t="shared" si="0"/>
        <v>2022</v>
      </c>
      <c r="B34" s="7">
        <v>51</v>
      </c>
      <c r="C34" s="94">
        <v>44907</v>
      </c>
      <c r="D34" s="384">
        <v>6562</v>
      </c>
      <c r="E34" s="384">
        <v>0</v>
      </c>
      <c r="F34" s="384">
        <v>3959</v>
      </c>
      <c r="G34" s="384">
        <v>88</v>
      </c>
      <c r="H34" s="428">
        <v>1867</v>
      </c>
      <c r="I34" s="173">
        <v>12476</v>
      </c>
    </row>
    <row r="35" spans="1:11" x14ac:dyDescent="0.25">
      <c r="A35" s="7" t="str">
        <f t="shared" si="0"/>
        <v>2022</v>
      </c>
      <c r="B35" s="7">
        <v>51</v>
      </c>
      <c r="C35" s="94">
        <v>44908</v>
      </c>
      <c r="D35" s="10">
        <v>6676.5573000000004</v>
      </c>
      <c r="E35" s="10">
        <v>0</v>
      </c>
      <c r="F35" s="10">
        <v>4204.8435979999986</v>
      </c>
      <c r="G35" s="10">
        <v>74.270801999999961</v>
      </c>
      <c r="H35" s="95">
        <v>1755.6279999999997</v>
      </c>
      <c r="I35" s="173">
        <v>12711</v>
      </c>
      <c r="K35" s="264"/>
    </row>
    <row r="36" spans="1:11" x14ac:dyDescent="0.25">
      <c r="A36" s="7" t="str">
        <f t="shared" si="0"/>
        <v>2022</v>
      </c>
      <c r="B36" s="7">
        <v>51</v>
      </c>
      <c r="C36" s="94">
        <v>44909</v>
      </c>
      <c r="D36" s="10">
        <v>7059.2193000000007</v>
      </c>
      <c r="E36" s="10">
        <v>0</v>
      </c>
      <c r="F36" s="10">
        <v>4039.8557934999999</v>
      </c>
      <c r="G36" s="416">
        <v>74.207506499999965</v>
      </c>
      <c r="H36" s="429">
        <v>1636.398000000001</v>
      </c>
      <c r="I36" s="173">
        <v>12810</v>
      </c>
      <c r="K36" s="264"/>
    </row>
    <row r="37" spans="1:11" x14ac:dyDescent="0.25">
      <c r="A37" s="7" t="str">
        <f t="shared" si="0"/>
        <v>2022</v>
      </c>
      <c r="B37" s="7">
        <v>51</v>
      </c>
      <c r="C37" s="94">
        <v>44910</v>
      </c>
      <c r="D37" s="416">
        <v>7158.1447000000007</v>
      </c>
      <c r="E37" s="384">
        <v>0</v>
      </c>
      <c r="F37" s="416">
        <v>4106.6766080000007</v>
      </c>
      <c r="G37" s="416">
        <v>73.927591999999976</v>
      </c>
      <c r="H37" s="429">
        <v>1593.0410000000011</v>
      </c>
      <c r="I37" s="173">
        <v>12932</v>
      </c>
      <c r="K37" s="264"/>
    </row>
    <row r="38" spans="1:11" x14ac:dyDescent="0.25">
      <c r="A38" s="7" t="str">
        <f t="shared" si="0"/>
        <v>2022</v>
      </c>
      <c r="B38" s="7">
        <v>51</v>
      </c>
      <c r="C38" s="94">
        <v>44911</v>
      </c>
      <c r="D38" s="416">
        <v>7308.6295000000027</v>
      </c>
      <c r="E38" s="416">
        <v>0</v>
      </c>
      <c r="F38" s="416">
        <v>3844.7612079999999</v>
      </c>
      <c r="G38" s="416">
        <v>73.927591999999976</v>
      </c>
      <c r="H38" s="95">
        <v>1681.3230999999996</v>
      </c>
      <c r="I38" s="173">
        <v>12909</v>
      </c>
      <c r="K38" s="264"/>
    </row>
    <row r="39" spans="1:11" x14ac:dyDescent="0.25">
      <c r="A39" s="7" t="str">
        <f t="shared" si="0"/>
        <v>2022</v>
      </c>
      <c r="B39" s="7">
        <v>52</v>
      </c>
      <c r="C39" s="94">
        <v>44914</v>
      </c>
      <c r="D39" s="416">
        <v>7350.4213</v>
      </c>
      <c r="E39" s="416">
        <v>0</v>
      </c>
      <c r="F39" s="416">
        <v>4227.1530579999999</v>
      </c>
      <c r="G39" s="416">
        <v>75.03174199999998</v>
      </c>
      <c r="H39" s="95">
        <v>1882.3330000000005</v>
      </c>
      <c r="I39" s="173">
        <v>13535</v>
      </c>
      <c r="K39" s="264"/>
    </row>
    <row r="40" spans="1:11" x14ac:dyDescent="0.25">
      <c r="A40" s="7" t="str">
        <f t="shared" si="0"/>
        <v>2022</v>
      </c>
      <c r="B40" s="7">
        <v>52</v>
      </c>
      <c r="C40" s="94">
        <v>44915</v>
      </c>
      <c r="D40" s="10">
        <v>7383.3140000000003</v>
      </c>
      <c r="E40" s="416">
        <v>0</v>
      </c>
      <c r="F40" s="416">
        <v>4424.0192212000011</v>
      </c>
      <c r="G40" s="416">
        <v>74.263078799999974</v>
      </c>
      <c r="H40" s="429">
        <v>1864.1801000000005</v>
      </c>
      <c r="I40" s="173">
        <v>13746</v>
      </c>
    </row>
    <row r="41" spans="1:11" x14ac:dyDescent="0.25">
      <c r="A41" s="7" t="str">
        <f t="shared" si="0"/>
        <v>2022</v>
      </c>
      <c r="B41" s="7">
        <v>52</v>
      </c>
      <c r="C41" s="94">
        <v>44916</v>
      </c>
      <c r="D41" s="10">
        <v>7510.3125</v>
      </c>
      <c r="E41" s="10">
        <v>0</v>
      </c>
      <c r="F41" s="10">
        <v>4681.7930332000005</v>
      </c>
      <c r="G41" s="10">
        <v>76.670066800000029</v>
      </c>
      <c r="H41" s="95">
        <v>1828.7610000000004</v>
      </c>
      <c r="I41" s="173">
        <f>SUM(D41:H41)</f>
        <v>14097.536599999999</v>
      </c>
    </row>
    <row r="42" spans="1:11" x14ac:dyDescent="0.25">
      <c r="A42" s="7" t="str">
        <f t="shared" si="0"/>
        <v>2022</v>
      </c>
      <c r="B42" s="7">
        <v>52</v>
      </c>
      <c r="C42" s="94">
        <v>44917</v>
      </c>
      <c r="D42" s="416">
        <v>7951.248400000004</v>
      </c>
      <c r="E42" s="10">
        <v>0</v>
      </c>
      <c r="F42" s="10">
        <v>4944.0067212000004</v>
      </c>
      <c r="G42" s="10">
        <v>74.263078799999974</v>
      </c>
      <c r="H42" s="95">
        <v>1824.5919999999987</v>
      </c>
      <c r="I42" s="173">
        <v>14794</v>
      </c>
    </row>
    <row r="43" spans="1:11" x14ac:dyDescent="0.25">
      <c r="A43" s="7" t="str">
        <f t="shared" si="0"/>
        <v>2022</v>
      </c>
      <c r="B43" s="7">
        <v>52</v>
      </c>
      <c r="C43" s="94">
        <v>44918</v>
      </c>
      <c r="D43" s="416">
        <v>8380.2063999999991</v>
      </c>
      <c r="E43" s="10">
        <v>0</v>
      </c>
      <c r="F43" s="10">
        <v>4947.0894212000012</v>
      </c>
      <c r="G43" s="10">
        <v>74.263078799999974</v>
      </c>
      <c r="H43" s="95">
        <v>1774.8909999999987</v>
      </c>
      <c r="I43" s="173">
        <v>15176</v>
      </c>
    </row>
    <row r="44" spans="1:11" x14ac:dyDescent="0.25">
      <c r="A44" s="7" t="str">
        <f t="shared" si="0"/>
        <v>2022</v>
      </c>
      <c r="B44" s="7">
        <v>53</v>
      </c>
      <c r="C44" s="94">
        <v>44922</v>
      </c>
      <c r="D44" s="10">
        <v>8754.3117000000002</v>
      </c>
      <c r="E44" s="10">
        <v>0</v>
      </c>
      <c r="F44" s="10">
        <v>4687.6937780000007</v>
      </c>
      <c r="G44" s="10">
        <v>75.992422000000005</v>
      </c>
      <c r="H44" s="95">
        <v>1861.0500000000002</v>
      </c>
      <c r="I44" s="173">
        <v>15379</v>
      </c>
    </row>
    <row r="45" spans="1:11" x14ac:dyDescent="0.25">
      <c r="A45" s="7" t="str">
        <f t="shared" si="0"/>
        <v>2022</v>
      </c>
      <c r="B45" s="7">
        <v>53</v>
      </c>
      <c r="C45" s="94">
        <v>44923</v>
      </c>
      <c r="D45" s="219">
        <v>8849.7106999999996</v>
      </c>
      <c r="E45" s="219">
        <v>0</v>
      </c>
      <c r="F45" s="219">
        <v>4696.2841332000007</v>
      </c>
      <c r="G45" s="219">
        <v>76.670066800000029</v>
      </c>
      <c r="H45" s="433">
        <v>1945.4321000000009</v>
      </c>
      <c r="I45" s="270">
        <v>15568.097000000002</v>
      </c>
    </row>
    <row r="46" spans="1:11" x14ac:dyDescent="0.25">
      <c r="A46" s="7" t="str">
        <f t="shared" si="0"/>
        <v>2022</v>
      </c>
      <c r="B46" s="7">
        <v>53</v>
      </c>
      <c r="C46" s="94">
        <v>44924</v>
      </c>
      <c r="D46" s="219">
        <v>8518.1428999999989</v>
      </c>
      <c r="E46" s="219">
        <v>0</v>
      </c>
      <c r="F46" s="219">
        <v>4712.6485331999993</v>
      </c>
      <c r="G46" s="219">
        <v>76.670066800000029</v>
      </c>
      <c r="H46" s="433">
        <v>1972.9171000000006</v>
      </c>
      <c r="I46" s="270">
        <v>15280</v>
      </c>
    </row>
    <row r="47" spans="1:11" x14ac:dyDescent="0.25">
      <c r="A47" s="7" t="str">
        <f t="shared" si="0"/>
        <v>2022</v>
      </c>
      <c r="B47" s="7">
        <f t="shared" ref="B47:B50" si="4">WEEKNUM(C47)</f>
        <v>53</v>
      </c>
      <c r="C47" s="94">
        <v>44925</v>
      </c>
      <c r="D47" s="270">
        <v>7927</v>
      </c>
      <c r="E47" s="270">
        <v>0</v>
      </c>
      <c r="F47" s="270">
        <v>4648</v>
      </c>
      <c r="G47" s="270">
        <v>77</v>
      </c>
      <c r="H47" s="434">
        <v>2074</v>
      </c>
      <c r="I47" s="270">
        <v>14726</v>
      </c>
    </row>
    <row r="48" spans="1:11" x14ac:dyDescent="0.25">
      <c r="A48" s="7" t="str">
        <f t="shared" si="0"/>
        <v>2023</v>
      </c>
      <c r="B48" s="7">
        <f t="shared" si="4"/>
        <v>1</v>
      </c>
      <c r="C48" s="94">
        <v>44928</v>
      </c>
      <c r="D48" s="219">
        <v>7741.6108999999979</v>
      </c>
      <c r="E48" s="219">
        <v>0</v>
      </c>
      <c r="F48" s="219">
        <v>4364.9276070000005</v>
      </c>
      <c r="G48" s="219">
        <v>67.241693000000041</v>
      </c>
      <c r="H48" s="433">
        <v>2216.442</v>
      </c>
      <c r="I48" s="270">
        <v>14390.222199999997</v>
      </c>
    </row>
    <row r="49" spans="1:9" x14ac:dyDescent="0.25">
      <c r="A49" s="7" t="str">
        <f t="shared" si="0"/>
        <v>2023</v>
      </c>
      <c r="B49" s="7">
        <f t="shared" si="4"/>
        <v>1</v>
      </c>
      <c r="C49" s="94">
        <v>44929</v>
      </c>
      <c r="D49" s="219">
        <v>7741.6108999999979</v>
      </c>
      <c r="E49" s="219">
        <v>0</v>
      </c>
      <c r="F49" s="219">
        <v>4613.9289069999986</v>
      </c>
      <c r="G49" s="219">
        <v>67.223493000000047</v>
      </c>
      <c r="H49" s="433">
        <v>2216.442</v>
      </c>
      <c r="I49" s="270">
        <v>14639.205299999998</v>
      </c>
    </row>
    <row r="50" spans="1:9" x14ac:dyDescent="0.25">
      <c r="A50" s="7" t="str">
        <f t="shared" si="0"/>
        <v>2023</v>
      </c>
      <c r="B50" s="7">
        <f t="shared" si="4"/>
        <v>1</v>
      </c>
      <c r="C50" s="94">
        <v>44930</v>
      </c>
      <c r="D50" s="219">
        <v>7549.0875999999953</v>
      </c>
      <c r="E50" s="219">
        <v>0</v>
      </c>
      <c r="F50" s="219">
        <v>4498.1375069999995</v>
      </c>
      <c r="G50" s="219">
        <v>70.153093000000041</v>
      </c>
      <c r="H50" s="433">
        <v>1938.6899999999987</v>
      </c>
      <c r="I50" s="270">
        <v>14056.068199999994</v>
      </c>
    </row>
    <row r="51" spans="1:9" x14ac:dyDescent="0.25">
      <c r="A51" s="7" t="str">
        <f t="shared" si="0"/>
        <v>2023</v>
      </c>
      <c r="B51" s="7">
        <f>WEEKNUM(C51)</f>
        <v>1</v>
      </c>
      <c r="C51" s="94">
        <v>44931</v>
      </c>
      <c r="D51" s="219">
        <v>7587.5352000000021</v>
      </c>
      <c r="E51" s="219">
        <v>0</v>
      </c>
      <c r="F51" s="219">
        <v>4437.5952070000003</v>
      </c>
      <c r="G51" s="219">
        <v>69.001093000000026</v>
      </c>
      <c r="H51" s="433">
        <v>1916.0640000000003</v>
      </c>
      <c r="I51" s="270">
        <v>14010.195500000003</v>
      </c>
    </row>
    <row r="52" spans="1:9" x14ac:dyDescent="0.25">
      <c r="A52" s="7" t="str">
        <f t="shared" si="0"/>
        <v>2023</v>
      </c>
      <c r="B52" s="7">
        <f t="shared" ref="B52:B104" si="5">WEEKNUM(C52)</f>
        <v>2</v>
      </c>
      <c r="C52" s="94">
        <v>44935</v>
      </c>
      <c r="D52" s="219">
        <v>7964.4169000000002</v>
      </c>
      <c r="E52" s="219">
        <v>0</v>
      </c>
      <c r="F52" s="219">
        <v>4510.6568669999997</v>
      </c>
      <c r="G52" s="219">
        <v>58.174833000000007</v>
      </c>
      <c r="H52" s="433">
        <v>2115.8159999999998</v>
      </c>
      <c r="I52" s="270">
        <v>14649.064599999998</v>
      </c>
    </row>
    <row r="53" spans="1:9" x14ac:dyDescent="0.25">
      <c r="A53" s="7" t="str">
        <f t="shared" si="0"/>
        <v>2023</v>
      </c>
      <c r="B53" s="7">
        <f t="shared" si="5"/>
        <v>2</v>
      </c>
      <c r="C53" s="94">
        <v>44936</v>
      </c>
      <c r="D53" s="219">
        <v>7874.4701000000005</v>
      </c>
      <c r="E53" s="219">
        <v>0</v>
      </c>
      <c r="F53" s="219">
        <v>4418.3973669999996</v>
      </c>
      <c r="G53" s="219">
        <v>61.375833000000029</v>
      </c>
      <c r="H53" s="433">
        <v>2025.2609999999995</v>
      </c>
      <c r="I53" s="270">
        <v>14379.504300000001</v>
      </c>
    </row>
    <row r="54" spans="1:9" x14ac:dyDescent="0.25">
      <c r="A54" s="7" t="str">
        <f t="shared" si="0"/>
        <v>2023</v>
      </c>
      <c r="B54" s="7">
        <f>WEEKNUM(C54)</f>
        <v>2</v>
      </c>
      <c r="C54" s="94">
        <v>44937</v>
      </c>
      <c r="D54" s="219">
        <v>7617.7955000000002</v>
      </c>
      <c r="E54" s="219">
        <v>0</v>
      </c>
      <c r="F54" s="219">
        <v>4300.9287758999999</v>
      </c>
      <c r="G54" s="219">
        <v>60.186724100000013</v>
      </c>
      <c r="H54" s="433">
        <v>1850.2470000000012</v>
      </c>
      <c r="I54" s="270">
        <v>13829.158000000001</v>
      </c>
    </row>
    <row r="55" spans="1:9" x14ac:dyDescent="0.25">
      <c r="A55" s="7" t="str">
        <f t="shared" si="0"/>
        <v>2023</v>
      </c>
      <c r="B55" s="7">
        <f t="shared" si="5"/>
        <v>2</v>
      </c>
      <c r="C55" s="94">
        <v>44938</v>
      </c>
      <c r="D55" s="219">
        <v>7543.3211000000028</v>
      </c>
      <c r="E55" s="219" t="s">
        <v>232</v>
      </c>
      <c r="F55" s="219">
        <v>4256.3189869999997</v>
      </c>
      <c r="G55" s="219">
        <v>63.289613000000003</v>
      </c>
      <c r="H55" s="433">
        <v>1840.0539999999992</v>
      </c>
      <c r="I55" s="270">
        <v>13702.983700000004</v>
      </c>
    </row>
    <row r="56" spans="1:9" x14ac:dyDescent="0.25">
      <c r="A56" s="7" t="str">
        <f t="shared" si="0"/>
        <v>2023</v>
      </c>
      <c r="B56" s="7">
        <f t="shared" si="5"/>
        <v>2</v>
      </c>
      <c r="C56" s="94">
        <v>44939</v>
      </c>
      <c r="D56" s="219">
        <v>7293.5246000000006</v>
      </c>
      <c r="E56" s="219" t="s">
        <v>232</v>
      </c>
      <c r="F56" s="219">
        <v>4098.4828870000019</v>
      </c>
      <c r="G56" s="219">
        <v>62.851112999999998</v>
      </c>
      <c r="H56" s="433">
        <v>1831.0310000000009</v>
      </c>
      <c r="I56" s="270">
        <v>13285.889600000004</v>
      </c>
    </row>
    <row r="57" spans="1:9" x14ac:dyDescent="0.25">
      <c r="A57" s="7" t="str">
        <f t="shared" si="0"/>
        <v>2023</v>
      </c>
      <c r="B57" s="7">
        <f t="shared" si="5"/>
        <v>3</v>
      </c>
      <c r="C57" s="94">
        <v>44942</v>
      </c>
      <c r="D57" s="219">
        <v>7319.0607999999975</v>
      </c>
      <c r="E57" s="219" t="s">
        <v>232</v>
      </c>
      <c r="F57" s="219">
        <v>4001.1256693000005</v>
      </c>
      <c r="G57" s="219">
        <v>62.761830700000019</v>
      </c>
      <c r="H57" s="433">
        <v>2024.6021000000001</v>
      </c>
      <c r="I57" s="270">
        <v>13407.550399999998</v>
      </c>
    </row>
    <row r="58" spans="1:9" x14ac:dyDescent="0.25">
      <c r="A58" s="7" t="str">
        <f t="shared" si="0"/>
        <v>2023</v>
      </c>
      <c r="B58" s="7">
        <f t="shared" si="5"/>
        <v>3</v>
      </c>
      <c r="C58" s="94">
        <v>44943</v>
      </c>
      <c r="D58" s="219">
        <v>7284.5316000000021</v>
      </c>
      <c r="E58" s="219" t="s">
        <v>232</v>
      </c>
      <c r="F58" s="219">
        <v>4164.361417000001</v>
      </c>
      <c r="G58" s="219">
        <v>66.408883000000003</v>
      </c>
      <c r="H58" s="433">
        <v>1889.6181000000006</v>
      </c>
      <c r="I58" s="270">
        <v>13404.920000000002</v>
      </c>
    </row>
    <row r="59" spans="1:9" x14ac:dyDescent="0.25">
      <c r="A59" s="7" t="str">
        <f t="shared" si="0"/>
        <v>2023</v>
      </c>
      <c r="B59" s="7">
        <f t="shared" si="5"/>
        <v>3</v>
      </c>
      <c r="C59" s="94">
        <v>44944</v>
      </c>
      <c r="D59" s="219">
        <v>7603.2805000000008</v>
      </c>
      <c r="E59" s="219" t="s">
        <v>232</v>
      </c>
      <c r="F59" s="219">
        <v>4045.2256870000001</v>
      </c>
      <c r="G59" s="219">
        <v>66.845612999999986</v>
      </c>
      <c r="H59" s="433">
        <v>2100.1430999999993</v>
      </c>
      <c r="I59" s="270">
        <v>13815.4949</v>
      </c>
    </row>
    <row r="60" spans="1:9" x14ac:dyDescent="0.25">
      <c r="A60" s="7" t="str">
        <f t="shared" si="0"/>
        <v>2023</v>
      </c>
      <c r="B60" s="7">
        <f t="shared" si="5"/>
        <v>3</v>
      </c>
      <c r="C60" s="94">
        <v>44945</v>
      </c>
      <c r="D60" s="219">
        <v>7299.0322999999989</v>
      </c>
      <c r="E60" s="219" t="s">
        <v>232</v>
      </c>
      <c r="F60" s="219">
        <v>3997.6797870000009</v>
      </c>
      <c r="G60" s="219">
        <v>67.122113000000013</v>
      </c>
      <c r="H60" s="433">
        <v>2287.7950999999994</v>
      </c>
      <c r="I60" s="270">
        <v>13651.629299999999</v>
      </c>
    </row>
    <row r="61" spans="1:9" x14ac:dyDescent="0.25">
      <c r="A61" s="7" t="str">
        <f t="shared" si="0"/>
        <v>2023</v>
      </c>
      <c r="B61" s="7">
        <f t="shared" si="5"/>
        <v>3</v>
      </c>
      <c r="C61" s="94">
        <v>44946</v>
      </c>
      <c r="D61" s="219">
        <v>7072.9000000000015</v>
      </c>
      <c r="E61" s="219" t="s">
        <v>232</v>
      </c>
      <c r="F61" s="219">
        <v>3766.6706616999991</v>
      </c>
      <c r="G61" s="219">
        <v>67.11793830000002</v>
      </c>
      <c r="H61" s="433">
        <v>2304.379100000001</v>
      </c>
      <c r="I61" s="270">
        <v>13211.0677</v>
      </c>
    </row>
    <row r="62" spans="1:9" x14ac:dyDescent="0.25">
      <c r="A62" s="7" t="str">
        <f t="shared" si="0"/>
        <v>2023</v>
      </c>
      <c r="B62" s="7">
        <f t="shared" si="5"/>
        <v>4</v>
      </c>
      <c r="C62" s="94">
        <v>44949</v>
      </c>
      <c r="D62" s="219">
        <v>8074.1433999999972</v>
      </c>
      <c r="E62" s="219" t="s">
        <v>232</v>
      </c>
      <c r="F62" s="219">
        <v>3810.6205795999995</v>
      </c>
      <c r="G62" s="219">
        <v>67.265720400000021</v>
      </c>
      <c r="H62" s="433">
        <v>2550.3051999999989</v>
      </c>
      <c r="I62" s="270">
        <v>14502.334899999996</v>
      </c>
    </row>
    <row r="63" spans="1:9" x14ac:dyDescent="0.25">
      <c r="A63" s="7" t="str">
        <f t="shared" si="0"/>
        <v>2023</v>
      </c>
      <c r="B63" s="7">
        <f t="shared" si="5"/>
        <v>4</v>
      </c>
      <c r="C63" s="94">
        <v>44950</v>
      </c>
      <c r="D63" s="219">
        <v>7727.1242999999995</v>
      </c>
      <c r="E63" s="219" t="s">
        <v>232</v>
      </c>
      <c r="F63" s="219">
        <v>3786.6694039000004</v>
      </c>
      <c r="G63" s="219">
        <v>67.460596100000032</v>
      </c>
      <c r="H63" s="433">
        <v>2396.3911000000007</v>
      </c>
      <c r="I63" s="270">
        <v>13977.645399999999</v>
      </c>
    </row>
    <row r="64" spans="1:9" x14ac:dyDescent="0.25">
      <c r="A64" s="7" t="str">
        <f t="shared" si="0"/>
        <v>2023</v>
      </c>
      <c r="B64" s="7">
        <f t="shared" si="5"/>
        <v>4</v>
      </c>
      <c r="C64" s="94">
        <v>44951</v>
      </c>
      <c r="D64" s="219">
        <v>7818.4044000000013</v>
      </c>
      <c r="E64" s="219" t="s">
        <v>232</v>
      </c>
      <c r="F64" s="219">
        <v>3865.7553814999992</v>
      </c>
      <c r="G64" s="219">
        <v>67.349818499999998</v>
      </c>
      <c r="H64" s="433">
        <v>2396.6020999999992</v>
      </c>
      <c r="I64" s="270">
        <v>14148.111700000001</v>
      </c>
    </row>
    <row r="65" spans="1:9" x14ac:dyDescent="0.25">
      <c r="A65" s="7" t="str">
        <f t="shared" si="0"/>
        <v>2023</v>
      </c>
      <c r="B65" s="7">
        <f t="shared" si="5"/>
        <v>4</v>
      </c>
      <c r="C65" s="94">
        <v>44952</v>
      </c>
      <c r="D65" s="219">
        <v>7935.3845999999976</v>
      </c>
      <c r="E65" s="219" t="s">
        <v>232</v>
      </c>
      <c r="F65" s="219">
        <v>3740.0458448000009</v>
      </c>
      <c r="G65" s="219">
        <v>67.609655200000034</v>
      </c>
      <c r="H65" s="433">
        <v>2267.5301999999974</v>
      </c>
      <c r="I65" s="270">
        <v>14010.570299999996</v>
      </c>
    </row>
    <row r="66" spans="1:9" x14ac:dyDescent="0.25">
      <c r="A66" s="7" t="str">
        <f t="shared" si="0"/>
        <v>2023</v>
      </c>
      <c r="B66" s="7">
        <f t="shared" si="5"/>
        <v>4</v>
      </c>
      <c r="C66" s="94">
        <v>44953</v>
      </c>
      <c r="D66" s="219">
        <v>7700.8861000000015</v>
      </c>
      <c r="E66" s="219" t="s">
        <v>232</v>
      </c>
      <c r="F66" s="219">
        <v>3617.6919347000003</v>
      </c>
      <c r="G66" s="219">
        <v>67.705665300000021</v>
      </c>
      <c r="H66" s="433">
        <v>2337.4970999999987</v>
      </c>
      <c r="I66" s="270">
        <v>13723.7808</v>
      </c>
    </row>
    <row r="67" spans="1:9" x14ac:dyDescent="0.25">
      <c r="A67" s="7" t="str">
        <f t="shared" ref="A67:A104" si="6">TEXT(C67,"yyyy")</f>
        <v>2023</v>
      </c>
      <c r="B67" s="7">
        <f t="shared" si="5"/>
        <v>5</v>
      </c>
      <c r="C67" s="94">
        <v>44956</v>
      </c>
      <c r="D67" s="219">
        <v>8175.9812999999995</v>
      </c>
      <c r="E67" s="219" t="s">
        <v>232</v>
      </c>
      <c r="F67" s="219">
        <v>3734.2924014000018</v>
      </c>
      <c r="G67" s="219">
        <v>67.724598600000022</v>
      </c>
      <c r="H67" s="433">
        <v>2465.6760999999997</v>
      </c>
      <c r="I67" s="270">
        <v>14443.6744</v>
      </c>
    </row>
    <row r="68" spans="1:9" x14ac:dyDescent="0.25">
      <c r="A68" s="7" t="str">
        <f t="shared" si="6"/>
        <v>2023</v>
      </c>
      <c r="B68" s="7">
        <f t="shared" si="5"/>
        <v>5</v>
      </c>
      <c r="C68" s="94">
        <v>44957</v>
      </c>
      <c r="D68" s="219">
        <v>8266.5714000000025</v>
      </c>
      <c r="E68" s="219" t="s">
        <v>232</v>
      </c>
      <c r="F68" s="219">
        <v>3600.7938770000001</v>
      </c>
      <c r="G68" s="219">
        <v>67.710523000000023</v>
      </c>
      <c r="H68" s="433">
        <v>2304.0250000000015</v>
      </c>
      <c r="I68" s="270">
        <v>14239.100800000004</v>
      </c>
    </row>
    <row r="69" spans="1:9" x14ac:dyDescent="0.25">
      <c r="A69" s="7" t="str">
        <f t="shared" si="6"/>
        <v>2023</v>
      </c>
      <c r="B69" s="7">
        <f t="shared" si="5"/>
        <v>5</v>
      </c>
      <c r="C69" s="94">
        <v>44958</v>
      </c>
      <c r="D69" s="219">
        <v>8102</v>
      </c>
      <c r="E69" s="219">
        <v>0</v>
      </c>
      <c r="F69" s="219">
        <v>3759</v>
      </c>
      <c r="G69" s="219">
        <v>72</v>
      </c>
      <c r="H69" s="433">
        <v>2297</v>
      </c>
      <c r="I69" s="270">
        <v>14230</v>
      </c>
    </row>
    <row r="70" spans="1:9" x14ac:dyDescent="0.25">
      <c r="A70" s="7" t="str">
        <f t="shared" si="6"/>
        <v>2023</v>
      </c>
      <c r="B70" s="7">
        <f t="shared" si="5"/>
        <v>5</v>
      </c>
      <c r="C70" s="94">
        <v>44959</v>
      </c>
      <c r="D70" s="219">
        <v>8030.6172000000006</v>
      </c>
      <c r="E70" s="219" t="s">
        <v>232</v>
      </c>
      <c r="F70" s="219">
        <v>4100.9693769999994</v>
      </c>
      <c r="G70" s="219">
        <v>71.706823000000014</v>
      </c>
      <c r="H70" s="433">
        <v>2230.5901000000013</v>
      </c>
      <c r="I70" s="270">
        <v>14433.883500000002</v>
      </c>
    </row>
    <row r="71" spans="1:9" x14ac:dyDescent="0.25">
      <c r="A71" s="7" t="str">
        <f t="shared" si="6"/>
        <v>2023</v>
      </c>
      <c r="B71" s="7">
        <f t="shared" si="5"/>
        <v>5</v>
      </c>
      <c r="C71" s="94">
        <v>44960</v>
      </c>
      <c r="D71" s="219">
        <v>8055.9601000000002</v>
      </c>
      <c r="E71" s="219" t="s">
        <v>232</v>
      </c>
      <c r="F71" s="219">
        <v>3912.3797770000001</v>
      </c>
      <c r="G71" s="219">
        <v>71.706823000000014</v>
      </c>
      <c r="H71" s="433">
        <v>2148.5070999999989</v>
      </c>
      <c r="I71" s="270">
        <v>14188.5538</v>
      </c>
    </row>
    <row r="72" spans="1:9" x14ac:dyDescent="0.25">
      <c r="A72" s="7" t="str">
        <f t="shared" si="6"/>
        <v>2023</v>
      </c>
      <c r="B72" s="7">
        <f t="shared" si="5"/>
        <v>6</v>
      </c>
      <c r="C72" s="94">
        <v>44963</v>
      </c>
      <c r="D72" s="219">
        <v>8187.9422999999988</v>
      </c>
      <c r="E72" s="219" t="s">
        <v>232</v>
      </c>
      <c r="F72" s="219">
        <v>4245.3813330000012</v>
      </c>
      <c r="G72" s="219">
        <v>71.588667000000015</v>
      </c>
      <c r="H72" s="433">
        <v>2234.4660999999996</v>
      </c>
      <c r="I72" s="270">
        <v>14739.3784</v>
      </c>
    </row>
    <row r="73" spans="1:9" x14ac:dyDescent="0.25">
      <c r="A73" s="7" t="str">
        <f t="shared" si="6"/>
        <v>2023</v>
      </c>
      <c r="B73" s="7">
        <f t="shared" si="5"/>
        <v>6</v>
      </c>
      <c r="C73" s="94">
        <v>44964</v>
      </c>
      <c r="D73" s="219">
        <v>8182.3826999999983</v>
      </c>
      <c r="E73" s="219" t="s">
        <v>232</v>
      </c>
      <c r="F73" s="219">
        <v>4304.9639830000015</v>
      </c>
      <c r="G73" s="219">
        <v>71.355117000000021</v>
      </c>
      <c r="H73" s="433">
        <v>2226.1869999999999</v>
      </c>
      <c r="I73" s="270">
        <v>14784.888799999999</v>
      </c>
    </row>
    <row r="74" spans="1:9" x14ac:dyDescent="0.25">
      <c r="A74" s="7" t="str">
        <f t="shared" si="6"/>
        <v>2023</v>
      </c>
      <c r="B74" s="7">
        <f t="shared" si="5"/>
        <v>6</v>
      </c>
      <c r="C74" s="94">
        <v>44965</v>
      </c>
      <c r="D74" s="219">
        <v>7928.0825000000023</v>
      </c>
      <c r="E74" s="219" t="s">
        <v>232</v>
      </c>
      <c r="F74" s="219">
        <v>4238.859213400001</v>
      </c>
      <c r="G74" s="219">
        <v>71.163486600000013</v>
      </c>
      <c r="H74" s="433">
        <v>2069.7600000000002</v>
      </c>
      <c r="I74" s="270">
        <v>14307.865200000004</v>
      </c>
    </row>
    <row r="75" spans="1:9" x14ac:dyDescent="0.25">
      <c r="A75" s="7" t="str">
        <f t="shared" si="6"/>
        <v>2023</v>
      </c>
      <c r="B75" s="7">
        <f t="shared" si="5"/>
        <v>6</v>
      </c>
      <c r="C75" s="94">
        <v>44966</v>
      </c>
      <c r="D75" s="219">
        <v>7724.4681999999993</v>
      </c>
      <c r="E75" s="219">
        <v>0</v>
      </c>
      <c r="F75" s="219">
        <v>4343.5734279999997</v>
      </c>
      <c r="G75" s="219">
        <v>70.960372000000035</v>
      </c>
      <c r="H75" s="433">
        <v>1960.9270000000033</v>
      </c>
      <c r="I75" s="270">
        <v>14099.929000000002</v>
      </c>
    </row>
    <row r="76" spans="1:9" x14ac:dyDescent="0.25">
      <c r="A76" s="7" t="str">
        <f t="shared" si="6"/>
        <v>2023</v>
      </c>
      <c r="B76" s="7">
        <f t="shared" si="5"/>
        <v>6</v>
      </c>
      <c r="C76" s="94">
        <v>44967</v>
      </c>
      <c r="D76" s="219">
        <v>7593</v>
      </c>
      <c r="E76" s="219">
        <v>0</v>
      </c>
      <c r="F76" s="219">
        <v>4486</v>
      </c>
      <c r="G76" s="219">
        <v>72</v>
      </c>
      <c r="H76" s="433">
        <v>2063</v>
      </c>
      <c r="I76" s="270">
        <v>14215</v>
      </c>
    </row>
    <row r="77" spans="1:9" x14ac:dyDescent="0.25">
      <c r="A77" s="7" t="str">
        <f t="shared" si="6"/>
        <v>2023</v>
      </c>
      <c r="B77" s="7">
        <f t="shared" si="5"/>
        <v>7</v>
      </c>
      <c r="C77" s="94">
        <v>44970</v>
      </c>
      <c r="D77" s="219">
        <v>7950.2392999999975</v>
      </c>
      <c r="E77" s="219" t="s">
        <v>232</v>
      </c>
      <c r="F77" s="219">
        <v>4894.419519</v>
      </c>
      <c r="G77" s="219">
        <v>71.989181000000002</v>
      </c>
      <c r="H77" s="433">
        <v>2458.8889999999992</v>
      </c>
      <c r="I77" s="270">
        <v>15375.536999999997</v>
      </c>
    </row>
    <row r="78" spans="1:9" x14ac:dyDescent="0.25">
      <c r="A78" s="7" t="str">
        <f t="shared" si="6"/>
        <v>2023</v>
      </c>
      <c r="B78" s="7">
        <f t="shared" si="5"/>
        <v>7</v>
      </c>
      <c r="C78" s="94">
        <v>44971</v>
      </c>
      <c r="D78" s="219">
        <v>7855.9740999999995</v>
      </c>
      <c r="E78" s="219" t="s">
        <v>232</v>
      </c>
      <c r="F78" s="219">
        <v>5340.0240919999997</v>
      </c>
      <c r="G78" s="219">
        <v>71.487008000000003</v>
      </c>
      <c r="H78" s="433">
        <v>2475.2760000000007</v>
      </c>
      <c r="I78" s="270">
        <v>15742.761200000001</v>
      </c>
    </row>
    <row r="79" spans="1:9" x14ac:dyDescent="0.25">
      <c r="A79" s="7" t="str">
        <f t="shared" si="6"/>
        <v>2023</v>
      </c>
      <c r="B79" s="7">
        <f t="shared" si="5"/>
        <v>7</v>
      </c>
      <c r="C79" s="94">
        <v>44972</v>
      </c>
      <c r="D79" s="219">
        <v>7808.7368999999999</v>
      </c>
      <c r="E79" s="219" t="s">
        <v>232</v>
      </c>
      <c r="F79" s="219">
        <v>5223.9366457000006</v>
      </c>
      <c r="G79" s="219">
        <v>71.404354300000023</v>
      </c>
      <c r="H79" s="433">
        <v>2500.2660000000005</v>
      </c>
      <c r="I79" s="270">
        <v>15604.3439</v>
      </c>
    </row>
    <row r="80" spans="1:9" x14ac:dyDescent="0.25">
      <c r="A80" s="7" t="str">
        <f t="shared" si="6"/>
        <v>2023</v>
      </c>
      <c r="B80" s="7">
        <f t="shared" si="5"/>
        <v>7</v>
      </c>
      <c r="C80" s="94">
        <v>44973</v>
      </c>
      <c r="D80" s="219">
        <v>7944.0865000000013</v>
      </c>
      <c r="E80" s="219" t="s">
        <v>232</v>
      </c>
      <c r="F80" s="219">
        <v>5375.3041514000006</v>
      </c>
      <c r="G80" s="219">
        <v>71.809248600000018</v>
      </c>
      <c r="H80" s="433">
        <v>2593.3990000000013</v>
      </c>
      <c r="I80" s="270">
        <v>15984.598900000003</v>
      </c>
    </row>
    <row r="81" spans="1:9" x14ac:dyDescent="0.25">
      <c r="A81" s="7" t="str">
        <f t="shared" si="6"/>
        <v>2023</v>
      </c>
      <c r="B81" s="7">
        <f t="shared" si="5"/>
        <v>7</v>
      </c>
      <c r="C81" s="94">
        <v>44974</v>
      </c>
      <c r="D81" s="219">
        <v>7855.3341000000019</v>
      </c>
      <c r="E81" s="219" t="s">
        <v>232</v>
      </c>
      <c r="F81" s="219">
        <v>5347.1146920000001</v>
      </c>
      <c r="G81" s="219">
        <v>71.810908000000012</v>
      </c>
      <c r="H81" s="433">
        <v>2503.809000000002</v>
      </c>
      <c r="I81" s="270">
        <v>15778.068700000003</v>
      </c>
    </row>
    <row r="82" spans="1:9" x14ac:dyDescent="0.25">
      <c r="A82" s="7" t="str">
        <f t="shared" si="6"/>
        <v>2023</v>
      </c>
      <c r="B82" s="7">
        <f t="shared" si="5"/>
        <v>8</v>
      </c>
      <c r="C82" s="94">
        <v>44977</v>
      </c>
      <c r="D82" s="219">
        <v>7882.3200999999972</v>
      </c>
      <c r="E82" s="219" t="s">
        <v>232</v>
      </c>
      <c r="F82" s="219">
        <v>5452.3386915999999</v>
      </c>
      <c r="G82" s="219">
        <v>68.850908400000009</v>
      </c>
      <c r="H82" s="433">
        <v>2543.9991</v>
      </c>
      <c r="I82" s="270">
        <v>15947.508799999996</v>
      </c>
    </row>
    <row r="83" spans="1:9" x14ac:dyDescent="0.25">
      <c r="A83" s="7" t="str">
        <f t="shared" si="6"/>
        <v>2023</v>
      </c>
      <c r="B83" s="7">
        <f t="shared" si="5"/>
        <v>8</v>
      </c>
      <c r="C83" s="94">
        <v>44978</v>
      </c>
      <c r="D83" s="219">
        <v>7750.3301999999967</v>
      </c>
      <c r="E83" s="219" t="s">
        <v>232</v>
      </c>
      <c r="F83" s="219">
        <v>5466.8028370000002</v>
      </c>
      <c r="G83" s="219">
        <v>70.90396299999999</v>
      </c>
      <c r="H83" s="433">
        <v>2463.0431000000008</v>
      </c>
      <c r="I83" s="270">
        <v>15751.080099999997</v>
      </c>
    </row>
    <row r="84" spans="1:9" x14ac:dyDescent="0.25">
      <c r="A84" s="7" t="str">
        <f t="shared" si="6"/>
        <v>2023</v>
      </c>
      <c r="B84" s="7">
        <f t="shared" si="5"/>
        <v>8</v>
      </c>
      <c r="C84" s="94">
        <v>44979</v>
      </c>
      <c r="D84" s="219">
        <v>7622.1767999999975</v>
      </c>
      <c r="E84" s="219" t="s">
        <v>232</v>
      </c>
      <c r="F84" s="219">
        <v>5257.7044132000001</v>
      </c>
      <c r="G84" s="219">
        <v>73.710386800000009</v>
      </c>
      <c r="H84" s="433">
        <v>2490.4031999999997</v>
      </c>
      <c r="I84" s="270">
        <v>15443.994799999997</v>
      </c>
    </row>
    <row r="85" spans="1:9" x14ac:dyDescent="0.25">
      <c r="A85" s="7" t="str">
        <f t="shared" si="6"/>
        <v>2023</v>
      </c>
      <c r="B85" s="7">
        <f t="shared" si="5"/>
        <v>8</v>
      </c>
      <c r="C85" s="94">
        <v>44980</v>
      </c>
      <c r="D85" s="219">
        <v>7722.1756999999998</v>
      </c>
      <c r="E85" s="219" t="s">
        <v>232</v>
      </c>
      <c r="F85" s="219">
        <v>5485.9350785000006</v>
      </c>
      <c r="G85" s="219">
        <v>75.1917215</v>
      </c>
      <c r="H85" s="433">
        <v>2490.4031999999997</v>
      </c>
      <c r="I85" s="270">
        <v>15773.705699999999</v>
      </c>
    </row>
    <row r="86" spans="1:9" x14ac:dyDescent="0.25">
      <c r="A86" s="7" t="str">
        <f t="shared" si="6"/>
        <v>2023</v>
      </c>
      <c r="B86" s="7">
        <f t="shared" si="5"/>
        <v>8</v>
      </c>
      <c r="C86" s="94">
        <v>44981</v>
      </c>
      <c r="D86" s="219">
        <v>7690.9852999999985</v>
      </c>
      <c r="E86" s="219" t="s">
        <v>232</v>
      </c>
      <c r="F86" s="219">
        <v>5489.5371470999999</v>
      </c>
      <c r="G86" s="219">
        <v>74.433352900000017</v>
      </c>
      <c r="H86" s="433">
        <v>2305.0040000000017</v>
      </c>
      <c r="I86" s="219">
        <v>15559.959800000001</v>
      </c>
    </row>
    <row r="87" spans="1:9" x14ac:dyDescent="0.25">
      <c r="A87" s="7" t="str">
        <f t="shared" si="6"/>
        <v>2023</v>
      </c>
      <c r="B87" s="7">
        <f t="shared" si="5"/>
        <v>9</v>
      </c>
      <c r="C87" s="94">
        <v>44984</v>
      </c>
      <c r="D87" s="219">
        <v>8235.7334999999985</v>
      </c>
      <c r="E87" s="219" t="s">
        <v>232</v>
      </c>
      <c r="F87" s="219">
        <v>5645.0006403999996</v>
      </c>
      <c r="G87" s="219">
        <v>75.523959600000012</v>
      </c>
      <c r="H87" s="433">
        <v>2329.0679999999993</v>
      </c>
      <c r="I87" s="219">
        <v>16285.326099999997</v>
      </c>
    </row>
    <row r="88" spans="1:9" x14ac:dyDescent="0.25">
      <c r="A88" s="7" t="str">
        <f t="shared" si="6"/>
        <v>2023</v>
      </c>
      <c r="B88" s="7">
        <f t="shared" si="5"/>
        <v>9</v>
      </c>
      <c r="C88" s="94">
        <v>44985</v>
      </c>
      <c r="D88" s="219">
        <v>8166.2885999999999</v>
      </c>
      <c r="E88" s="219" t="s">
        <v>232</v>
      </c>
      <c r="F88" s="219">
        <v>5627.272234</v>
      </c>
      <c r="G88" s="219">
        <v>75.621866000000011</v>
      </c>
      <c r="H88" s="433">
        <v>2266.0859999999993</v>
      </c>
      <c r="I88" s="219">
        <v>16135.268699999999</v>
      </c>
    </row>
    <row r="89" spans="1:9" x14ac:dyDescent="0.25">
      <c r="A89" s="7" t="str">
        <f t="shared" si="6"/>
        <v>2023</v>
      </c>
      <c r="B89" s="7">
        <f t="shared" si="5"/>
        <v>9</v>
      </c>
      <c r="C89" s="94">
        <v>44986</v>
      </c>
      <c r="D89" s="219">
        <v>7938.690499999997</v>
      </c>
      <c r="E89" s="219" t="s">
        <v>232</v>
      </c>
      <c r="F89" s="219">
        <v>5397.8260340000006</v>
      </c>
      <c r="G89" s="219">
        <v>75.579866000000024</v>
      </c>
      <c r="H89" s="433">
        <v>2224.362000000001</v>
      </c>
      <c r="I89" s="219">
        <v>15636.4584</v>
      </c>
    </row>
    <row r="90" spans="1:9" x14ac:dyDescent="0.25">
      <c r="A90" s="7" t="str">
        <f t="shared" si="6"/>
        <v>2023</v>
      </c>
      <c r="B90" s="7">
        <f t="shared" si="5"/>
        <v>9</v>
      </c>
      <c r="C90" s="94">
        <v>44987</v>
      </c>
      <c r="D90" s="219">
        <v>7415.0772000000015</v>
      </c>
      <c r="E90" s="219" t="s">
        <v>232</v>
      </c>
      <c r="F90" s="219">
        <v>5675.2065180000009</v>
      </c>
      <c r="G90" s="219">
        <v>76.857582000000036</v>
      </c>
      <c r="H90" s="433">
        <v>2146.3471</v>
      </c>
      <c r="I90" s="219">
        <v>15313.488400000002</v>
      </c>
    </row>
    <row r="91" spans="1:9" x14ac:dyDescent="0.25">
      <c r="A91" s="7" t="str">
        <f t="shared" si="6"/>
        <v>2023</v>
      </c>
      <c r="B91" s="7">
        <f t="shared" si="5"/>
        <v>9</v>
      </c>
      <c r="C91" s="94">
        <v>44988</v>
      </c>
      <c r="D91" s="219">
        <v>7340.5331000000006</v>
      </c>
      <c r="E91" s="219" t="s">
        <v>232</v>
      </c>
      <c r="F91" s="219">
        <v>5640.8295182000002</v>
      </c>
      <c r="G91" s="219">
        <v>76.718081800000036</v>
      </c>
      <c r="H91" s="433">
        <v>2135.1800000000012</v>
      </c>
      <c r="I91" s="219">
        <v>15193.260700000003</v>
      </c>
    </row>
    <row r="92" spans="1:9" x14ac:dyDescent="0.25">
      <c r="A92" s="7" t="str">
        <f t="shared" si="6"/>
        <v>2023</v>
      </c>
      <c r="B92" s="7">
        <f>WEEKNUM(C92)</f>
        <v>10</v>
      </c>
      <c r="C92" s="94">
        <v>44992</v>
      </c>
      <c r="D92" s="219">
        <v>7494.5988999999972</v>
      </c>
      <c r="E92" s="219" t="s">
        <v>232</v>
      </c>
      <c r="F92" s="219">
        <v>5561.4155179999998</v>
      </c>
      <c r="G92" s="219">
        <v>76.945982000000043</v>
      </c>
      <c r="H92" s="433">
        <v>2359.3181000000013</v>
      </c>
      <c r="I92" s="219">
        <v>15492.278499999997</v>
      </c>
    </row>
    <row r="93" spans="1:9" x14ac:dyDescent="0.25">
      <c r="A93" s="7" t="str">
        <f t="shared" si="6"/>
        <v>2023</v>
      </c>
      <c r="B93" s="7">
        <f t="shared" si="5"/>
        <v>10</v>
      </c>
      <c r="C93" s="94">
        <v>44993</v>
      </c>
      <c r="D93" s="219">
        <v>7428.3666000000012</v>
      </c>
      <c r="E93" s="219" t="s">
        <v>232</v>
      </c>
      <c r="F93" s="219">
        <v>5438.6310179999991</v>
      </c>
      <c r="G93" s="219">
        <v>76.945982000000029</v>
      </c>
      <c r="H93" s="433">
        <v>2222.6640999999991</v>
      </c>
      <c r="I93" s="219">
        <v>15166.6077</v>
      </c>
    </row>
    <row r="94" spans="1:9" x14ac:dyDescent="0.25">
      <c r="A94" s="7" t="str">
        <f t="shared" si="6"/>
        <v>2023</v>
      </c>
      <c r="B94" s="7">
        <f t="shared" si="5"/>
        <v>10</v>
      </c>
      <c r="C94" s="94">
        <v>44994</v>
      </c>
      <c r="D94" s="219">
        <v>7379.591000000004</v>
      </c>
      <c r="E94" s="219" t="s">
        <v>232</v>
      </c>
      <c r="F94" s="219">
        <v>5571.5003649999999</v>
      </c>
      <c r="G94" s="219">
        <v>77.080335000000019</v>
      </c>
      <c r="H94" s="433">
        <v>2059.7839999999997</v>
      </c>
      <c r="I94" s="219">
        <v>15087.955700000004</v>
      </c>
    </row>
    <row r="95" spans="1:9" x14ac:dyDescent="0.25">
      <c r="A95" s="7" t="str">
        <f t="shared" si="6"/>
        <v>2023</v>
      </c>
      <c r="B95" s="7">
        <f t="shared" si="5"/>
        <v>10</v>
      </c>
      <c r="C95" s="94">
        <v>44995</v>
      </c>
      <c r="D95" s="219">
        <v>7261.1899999999969</v>
      </c>
      <c r="E95" s="219" t="s">
        <v>232</v>
      </c>
      <c r="F95" s="219">
        <v>5572.1343649999999</v>
      </c>
      <c r="G95" s="219">
        <v>75.668335000000013</v>
      </c>
      <c r="H95" s="433">
        <v>1925.0590000000011</v>
      </c>
      <c r="I95" s="219">
        <v>14834.051699999998</v>
      </c>
    </row>
    <row r="96" spans="1:9" x14ac:dyDescent="0.25">
      <c r="A96" s="7" t="str">
        <f t="shared" si="6"/>
        <v>2023</v>
      </c>
      <c r="B96" s="7">
        <f t="shared" si="5"/>
        <v>11</v>
      </c>
      <c r="C96" s="94">
        <v>44998</v>
      </c>
      <c r="D96" s="219">
        <v>7767.7366000000002</v>
      </c>
      <c r="E96" s="219" t="s">
        <v>232</v>
      </c>
      <c r="F96" s="219">
        <v>5489.4685149999987</v>
      </c>
      <c r="G96" s="219">
        <v>68.999685000000028</v>
      </c>
      <c r="H96" s="433">
        <v>1891.5771000000004</v>
      </c>
      <c r="I96" s="219">
        <v>15217.7819</v>
      </c>
    </row>
    <row r="97" spans="1:9" x14ac:dyDescent="0.25">
      <c r="A97" s="7" t="str">
        <f t="shared" si="6"/>
        <v>2023</v>
      </c>
      <c r="B97" s="7">
        <f t="shared" si="5"/>
        <v>11</v>
      </c>
      <c r="C97" s="94">
        <v>44999</v>
      </c>
      <c r="D97" s="7">
        <v>8352.0933999999997</v>
      </c>
      <c r="E97" s="7" t="s">
        <v>232</v>
      </c>
      <c r="F97" s="7">
        <v>5479.0701150000004</v>
      </c>
      <c r="G97" s="7">
        <v>68.999685000000014</v>
      </c>
      <c r="H97" s="26">
        <v>1792.8579999999993</v>
      </c>
      <c r="I97" s="7">
        <v>15693.021199999999</v>
      </c>
    </row>
    <row r="98" spans="1:9" x14ac:dyDescent="0.25">
      <c r="A98" s="7" t="str">
        <f t="shared" si="6"/>
        <v>2023</v>
      </c>
      <c r="B98" s="7">
        <f t="shared" si="5"/>
        <v>11</v>
      </c>
      <c r="C98" s="94">
        <v>45000</v>
      </c>
      <c r="D98" s="7">
        <v>8380.2263000000039</v>
      </c>
      <c r="E98" s="7" t="s">
        <v>232</v>
      </c>
      <c r="F98" s="7">
        <v>5358.5452523999993</v>
      </c>
      <c r="G98" s="7">
        <v>68.823947600000025</v>
      </c>
      <c r="H98" s="26">
        <v>1726.1620000000003</v>
      </c>
      <c r="I98" s="7">
        <v>15533.757500000003</v>
      </c>
    </row>
    <row r="99" spans="1:9" x14ac:dyDescent="0.25">
      <c r="A99" s="7" t="str">
        <f t="shared" si="6"/>
        <v>2023</v>
      </c>
      <c r="B99" s="7">
        <f t="shared" si="5"/>
        <v>11</v>
      </c>
      <c r="C99" s="94">
        <v>45001</v>
      </c>
      <c r="D99" s="7">
        <v>8621.8080000000009</v>
      </c>
      <c r="E99" s="7" t="s">
        <v>232</v>
      </c>
      <c r="F99" s="7">
        <v>5559.9936859999998</v>
      </c>
      <c r="G99" s="7">
        <v>68.929513999999983</v>
      </c>
      <c r="H99" s="26">
        <v>1659.3339999999989</v>
      </c>
      <c r="I99" s="7">
        <v>15910.065199999999</v>
      </c>
    </row>
    <row r="100" spans="1:9" x14ac:dyDescent="0.25">
      <c r="A100" s="7" t="str">
        <f t="shared" si="6"/>
        <v>2023</v>
      </c>
      <c r="B100" s="7">
        <f t="shared" si="5"/>
        <v>11</v>
      </c>
      <c r="C100" s="94">
        <v>45002</v>
      </c>
      <c r="D100" s="7">
        <v>8655.6386000000002</v>
      </c>
      <c r="E100" s="7" t="s">
        <v>232</v>
      </c>
      <c r="F100" s="7">
        <v>5591.8680789999999</v>
      </c>
      <c r="G100" s="7">
        <v>69.419221000000022</v>
      </c>
      <c r="H100" s="26">
        <v>1769.402</v>
      </c>
      <c r="I100" s="7">
        <v>16086.3279</v>
      </c>
    </row>
    <row r="101" spans="1:9" x14ac:dyDescent="0.25">
      <c r="A101" s="7" t="str">
        <f t="shared" si="6"/>
        <v>2023</v>
      </c>
      <c r="B101" s="7">
        <f t="shared" si="5"/>
        <v>12</v>
      </c>
      <c r="C101" s="94">
        <v>45005</v>
      </c>
      <c r="D101" s="7">
        <v>9296.5704000000023</v>
      </c>
      <c r="E101" s="7" t="s">
        <v>232</v>
      </c>
      <c r="F101" s="7">
        <v>5603.1192556999995</v>
      </c>
      <c r="G101" s="7">
        <v>68.042144300000132</v>
      </c>
      <c r="H101" s="26">
        <v>2054.3150999999998</v>
      </c>
      <c r="I101" s="7">
        <v>17022.046900000001</v>
      </c>
    </row>
    <row r="102" spans="1:9" x14ac:dyDescent="0.25">
      <c r="A102" s="7" t="str">
        <f t="shared" si="6"/>
        <v>2023</v>
      </c>
      <c r="B102" s="7">
        <f t="shared" si="5"/>
        <v>12</v>
      </c>
      <c r="C102" s="94">
        <v>45006</v>
      </c>
      <c r="D102" s="7">
        <v>9319.2619999999988</v>
      </c>
      <c r="E102" s="7" t="s">
        <v>232</v>
      </c>
      <c r="F102" s="7">
        <v>5558.3293118000001</v>
      </c>
      <c r="G102" s="7">
        <v>68.551388200000133</v>
      </c>
      <c r="H102" s="26">
        <v>1986.2349999999988</v>
      </c>
      <c r="I102" s="7">
        <v>16932.377699999997</v>
      </c>
    </row>
    <row r="103" spans="1:9" x14ac:dyDescent="0.25">
      <c r="A103" s="7" t="str">
        <f t="shared" si="6"/>
        <v>2023</v>
      </c>
      <c r="B103" s="7">
        <f t="shared" si="5"/>
        <v>12</v>
      </c>
      <c r="C103" s="94">
        <v>45007</v>
      </c>
      <c r="D103" s="7">
        <v>9454.9192999999996</v>
      </c>
      <c r="E103" s="7" t="s">
        <v>232</v>
      </c>
      <c r="F103" s="7">
        <v>5420.2384618000006</v>
      </c>
      <c r="G103" s="7">
        <v>68.609838200000141</v>
      </c>
      <c r="H103" s="26">
        <v>1826.5619999999981</v>
      </c>
      <c r="I103" s="7">
        <v>16770.329599999997</v>
      </c>
    </row>
    <row r="104" spans="1:9" x14ac:dyDescent="0.25">
      <c r="A104" s="7" t="str">
        <f t="shared" si="6"/>
        <v>2023</v>
      </c>
      <c r="B104" s="7">
        <f t="shared" si="5"/>
        <v>12</v>
      </c>
      <c r="C104" s="94">
        <v>45008</v>
      </c>
      <c r="D104" s="7">
        <v>9312.7739999999994</v>
      </c>
      <c r="E104" s="7" t="s">
        <v>232</v>
      </c>
      <c r="F104" s="7">
        <v>5591.6278715999979</v>
      </c>
      <c r="G104" s="7">
        <v>68.841028400000141</v>
      </c>
      <c r="H104" s="26">
        <v>1775.268</v>
      </c>
      <c r="I104" s="7">
        <v>16748.510899999997</v>
      </c>
    </row>
    <row r="105" spans="1:9" x14ac:dyDescent="0.25">
      <c r="A105" s="7" t="str">
        <f t="shared" ref="A105:A178" si="7">TEXT(C105,"yyyy")</f>
        <v>2023</v>
      </c>
      <c r="B105" s="7">
        <f t="shared" ref="B105:B178" si="8">WEEKNUM(C105)</f>
        <v>12</v>
      </c>
      <c r="C105" s="94">
        <v>45009</v>
      </c>
      <c r="D105" s="7">
        <v>9058.0233000000026</v>
      </c>
      <c r="E105" s="7" t="s">
        <v>232</v>
      </c>
      <c r="F105" s="7">
        <v>5620.5377506000004</v>
      </c>
      <c r="G105" s="7">
        <v>68.732749400000117</v>
      </c>
      <c r="H105" s="26">
        <v>1716.2790000000005</v>
      </c>
      <c r="I105" s="7">
        <v>16463.572800000002</v>
      </c>
    </row>
    <row r="106" spans="1:9" x14ac:dyDescent="0.25">
      <c r="A106" s="7" t="str">
        <f t="shared" si="7"/>
        <v>2023</v>
      </c>
      <c r="B106" s="7">
        <f t="shared" si="8"/>
        <v>13</v>
      </c>
      <c r="C106" s="94">
        <v>45012</v>
      </c>
      <c r="D106" s="7">
        <v>9250.7291000000005</v>
      </c>
      <c r="E106" s="7" t="s">
        <v>232</v>
      </c>
      <c r="F106" s="7">
        <v>5516.0825639999994</v>
      </c>
      <c r="G106" s="7">
        <v>67.189436000000129</v>
      </c>
      <c r="H106" s="26">
        <v>1948.3869999999997</v>
      </c>
      <c r="I106" s="7">
        <v>16782.3881</v>
      </c>
    </row>
    <row r="107" spans="1:9" x14ac:dyDescent="0.25">
      <c r="A107" s="7" t="str">
        <f t="shared" si="7"/>
        <v>2023</v>
      </c>
      <c r="B107" s="7">
        <f t="shared" si="8"/>
        <v>13</v>
      </c>
      <c r="C107" s="94">
        <v>45013</v>
      </c>
      <c r="D107" s="7">
        <v>9065.9616999999998</v>
      </c>
      <c r="E107" s="7" t="s">
        <v>232</v>
      </c>
      <c r="F107" s="7">
        <v>5504.9693507000002</v>
      </c>
      <c r="G107" s="7">
        <v>67.133749300000119</v>
      </c>
      <c r="H107" s="26">
        <v>1789.71</v>
      </c>
      <c r="I107" s="7">
        <v>16427.774800000003</v>
      </c>
    </row>
    <row r="108" spans="1:9" x14ac:dyDescent="0.25">
      <c r="A108" s="7" t="str">
        <f t="shared" si="7"/>
        <v>2023</v>
      </c>
      <c r="B108" s="7">
        <f t="shared" si="8"/>
        <v>13</v>
      </c>
      <c r="C108" s="94">
        <v>45014</v>
      </c>
      <c r="D108" s="7">
        <v>9167.0128000000004</v>
      </c>
      <c r="E108" s="7" t="s">
        <v>232</v>
      </c>
      <c r="F108" s="7">
        <v>5471.617828999998</v>
      </c>
      <c r="G108" s="7">
        <v>67.273371000000139</v>
      </c>
      <c r="H108" s="26">
        <v>1851.1217999999999</v>
      </c>
      <c r="I108" s="7">
        <v>16557.025799999999</v>
      </c>
    </row>
    <row r="109" spans="1:9" x14ac:dyDescent="0.25">
      <c r="A109" s="7" t="str">
        <f t="shared" si="7"/>
        <v>2023</v>
      </c>
      <c r="B109" s="7">
        <f t="shared" si="8"/>
        <v>13</v>
      </c>
      <c r="C109" s="94">
        <v>45015</v>
      </c>
      <c r="D109" s="7">
        <v>9106.3204999999998</v>
      </c>
      <c r="E109" s="7" t="s">
        <v>232</v>
      </c>
      <c r="F109" s="7">
        <v>5485.6424589999988</v>
      </c>
      <c r="G109" s="7">
        <v>66.885641000000135</v>
      </c>
      <c r="H109" s="26">
        <v>1875.6857999999993</v>
      </c>
      <c r="I109" s="7">
        <v>16534.534399999997</v>
      </c>
    </row>
    <row r="110" spans="1:9" x14ac:dyDescent="0.25">
      <c r="A110" s="7" t="str">
        <f t="shared" si="7"/>
        <v>2023</v>
      </c>
      <c r="B110" s="7">
        <f t="shared" si="8"/>
        <v>13</v>
      </c>
      <c r="C110" s="94">
        <v>45016</v>
      </c>
      <c r="D110" s="7">
        <v>8959.1196999999993</v>
      </c>
      <c r="E110" s="7" t="s">
        <v>232</v>
      </c>
      <c r="F110" s="7">
        <v>5406.4144589999987</v>
      </c>
      <c r="G110" s="7">
        <v>66.715641000000133</v>
      </c>
      <c r="H110" s="26">
        <v>2023.1157999999978</v>
      </c>
      <c r="I110" s="7">
        <v>16455.365599999997</v>
      </c>
    </row>
    <row r="111" spans="1:9" x14ac:dyDescent="0.25">
      <c r="A111" s="7" t="str">
        <f t="shared" si="7"/>
        <v>2023</v>
      </c>
      <c r="B111" s="7">
        <f t="shared" si="8"/>
        <v>14</v>
      </c>
      <c r="C111" s="94">
        <v>45019</v>
      </c>
      <c r="D111" s="7">
        <v>9106.116399999999</v>
      </c>
      <c r="E111" s="7" t="s">
        <v>232</v>
      </c>
      <c r="F111" s="7">
        <v>5576.7043589999994</v>
      </c>
      <c r="G111" s="7">
        <v>66.715641000000119</v>
      </c>
      <c r="H111" s="26">
        <v>2235.8487999999998</v>
      </c>
      <c r="I111" s="7">
        <v>16985.385199999997</v>
      </c>
    </row>
    <row r="112" spans="1:9" x14ac:dyDescent="0.25">
      <c r="A112" s="7" t="str">
        <f t="shared" si="7"/>
        <v>2023</v>
      </c>
      <c r="B112" s="7">
        <f t="shared" si="8"/>
        <v>14</v>
      </c>
      <c r="C112" s="94">
        <v>45020</v>
      </c>
      <c r="D112" s="7">
        <v>9106.116399999999</v>
      </c>
      <c r="E112" s="7" t="s">
        <v>232</v>
      </c>
      <c r="F112" s="7">
        <v>5576.7043589999994</v>
      </c>
      <c r="G112" s="7">
        <v>66.715641000000119</v>
      </c>
      <c r="H112" s="26">
        <v>2235.8487999999998</v>
      </c>
      <c r="I112" s="7">
        <v>16985.385199999997</v>
      </c>
    </row>
    <row r="113" spans="1:9" x14ac:dyDescent="0.25">
      <c r="A113" s="7" t="str">
        <f t="shared" si="7"/>
        <v>2023</v>
      </c>
      <c r="B113" s="7">
        <f t="shared" si="8"/>
        <v>14</v>
      </c>
      <c r="C113" s="94">
        <v>45022</v>
      </c>
      <c r="D113" s="7">
        <v>8590.0371999999952</v>
      </c>
      <c r="E113" s="7" t="s">
        <v>232</v>
      </c>
      <c r="F113" s="7">
        <v>5536.3976531999997</v>
      </c>
      <c r="G113" s="7">
        <v>66.621746800000111</v>
      </c>
      <c r="H113" s="26">
        <v>2309.2139000000016</v>
      </c>
      <c r="I113" s="7">
        <v>16502.270499999995</v>
      </c>
    </row>
    <row r="114" spans="1:9" x14ac:dyDescent="0.25">
      <c r="A114" s="421" t="str">
        <f t="shared" si="7"/>
        <v>2023</v>
      </c>
      <c r="B114" s="421">
        <f t="shared" si="8"/>
        <v>14</v>
      </c>
      <c r="C114" s="163">
        <v>45023</v>
      </c>
      <c r="D114">
        <v>8456.8565000000035</v>
      </c>
      <c r="E114" t="s">
        <v>232</v>
      </c>
      <c r="F114">
        <v>5468.2766486999999</v>
      </c>
      <c r="G114">
        <v>67.284151300000133</v>
      </c>
      <c r="H114">
        <v>2041.0758000000005</v>
      </c>
      <c r="I114">
        <v>16033.493100000003</v>
      </c>
    </row>
    <row r="115" spans="1:9" x14ac:dyDescent="0.25">
      <c r="A115" s="421" t="str">
        <f t="shared" si="7"/>
        <v>2023</v>
      </c>
      <c r="B115" s="421">
        <f t="shared" si="8"/>
        <v>15</v>
      </c>
      <c r="C115" s="163">
        <v>45026</v>
      </c>
      <c r="D115">
        <v>8875.7827000000016</v>
      </c>
      <c r="E115" t="s">
        <v>232</v>
      </c>
      <c r="F115">
        <v>5391.4152486999983</v>
      </c>
      <c r="G115">
        <v>69.471651300000104</v>
      </c>
      <c r="H115">
        <v>2150.4818000000014</v>
      </c>
      <c r="I115">
        <v>16487.151400000002</v>
      </c>
    </row>
    <row r="116" spans="1:9" x14ac:dyDescent="0.25">
      <c r="A116" s="421" t="str">
        <f t="shared" si="7"/>
        <v>2023</v>
      </c>
      <c r="B116" s="421">
        <f t="shared" si="8"/>
        <v>16</v>
      </c>
      <c r="C116" s="163">
        <v>45033</v>
      </c>
      <c r="D116">
        <v>8161.8239000000012</v>
      </c>
      <c r="E116" t="s">
        <v>232</v>
      </c>
      <c r="F116">
        <v>5373.0299487000011</v>
      </c>
      <c r="G116">
        <v>63.267651300000125</v>
      </c>
      <c r="H116">
        <v>2188.5778000000009</v>
      </c>
      <c r="I116">
        <v>15786.699300000004</v>
      </c>
    </row>
    <row r="117" spans="1:9" x14ac:dyDescent="0.25">
      <c r="A117" s="421" t="str">
        <f t="shared" si="7"/>
        <v>2023</v>
      </c>
      <c r="B117" s="421">
        <f t="shared" si="8"/>
        <v>16</v>
      </c>
      <c r="C117" s="163">
        <v>45034</v>
      </c>
      <c r="D117">
        <v>8158.2197999999989</v>
      </c>
      <c r="E117" t="s">
        <v>232</v>
      </c>
      <c r="F117">
        <v>5452.0865486999992</v>
      </c>
      <c r="G117">
        <v>63.267651300000125</v>
      </c>
      <c r="H117">
        <v>2182.1659000000009</v>
      </c>
      <c r="I117">
        <v>15855.7399</v>
      </c>
    </row>
    <row r="118" spans="1:9" x14ac:dyDescent="0.25">
      <c r="A118" s="421" t="str">
        <f t="shared" si="7"/>
        <v>2023</v>
      </c>
      <c r="B118" s="421">
        <f t="shared" si="8"/>
        <v>16</v>
      </c>
      <c r="C118" s="163">
        <v>45035</v>
      </c>
      <c r="D118">
        <v>8026.2799000000014</v>
      </c>
      <c r="E118" t="s">
        <v>232</v>
      </c>
      <c r="F118">
        <v>5417.5293622999989</v>
      </c>
      <c r="G118">
        <v>63.739337700000107</v>
      </c>
      <c r="H118">
        <v>2376.8799000000008</v>
      </c>
      <c r="I118">
        <v>15884.428500000002</v>
      </c>
    </row>
    <row r="119" spans="1:9" x14ac:dyDescent="0.25">
      <c r="A119" s="421" t="str">
        <f t="shared" si="7"/>
        <v>2023</v>
      </c>
      <c r="B119" s="421">
        <f t="shared" si="8"/>
        <v>16</v>
      </c>
      <c r="C119" s="163">
        <v>45036</v>
      </c>
      <c r="D119">
        <v>7738.0222000000012</v>
      </c>
      <c r="E119" t="s">
        <v>232</v>
      </c>
      <c r="F119">
        <v>5594.9949698</v>
      </c>
      <c r="G119">
        <v>63.419030200000108</v>
      </c>
      <c r="H119">
        <v>2496.1068999999998</v>
      </c>
      <c r="I119">
        <v>15892.543100000003</v>
      </c>
    </row>
    <row r="120" spans="1:9" x14ac:dyDescent="0.25">
      <c r="A120" s="421" t="str">
        <f t="shared" si="7"/>
        <v>2023</v>
      </c>
      <c r="B120" s="421">
        <f t="shared" si="8"/>
        <v>16</v>
      </c>
      <c r="C120" s="163">
        <v>45037</v>
      </c>
      <c r="D120">
        <v>7473.8822</v>
      </c>
      <c r="E120" t="s">
        <v>232</v>
      </c>
      <c r="F120">
        <v>5445.2110438</v>
      </c>
      <c r="G120">
        <v>64.044756200000108</v>
      </c>
      <c r="H120">
        <v>2478.9309000000012</v>
      </c>
      <c r="I120">
        <v>15462.068900000002</v>
      </c>
    </row>
    <row r="121" spans="1:9" x14ac:dyDescent="0.25">
      <c r="A121" s="421" t="str">
        <f t="shared" si="7"/>
        <v>2023</v>
      </c>
      <c r="B121" s="421">
        <f t="shared" si="8"/>
        <v>17</v>
      </c>
      <c r="C121" s="163">
        <v>45040</v>
      </c>
      <c r="D121">
        <v>7362.3135999999995</v>
      </c>
      <c r="E121" t="s">
        <v>232</v>
      </c>
      <c r="F121">
        <v>5655.8098594999992</v>
      </c>
      <c r="G121">
        <v>63.284240500000138</v>
      </c>
      <c r="H121">
        <v>2815.911000000001</v>
      </c>
      <c r="I121">
        <v>15897.3187</v>
      </c>
    </row>
    <row r="122" spans="1:9" x14ac:dyDescent="0.25">
      <c r="A122" s="421" t="str">
        <f t="shared" si="7"/>
        <v>2023</v>
      </c>
      <c r="B122" s="421">
        <f t="shared" si="8"/>
        <v>17</v>
      </c>
      <c r="C122" s="163">
        <v>45041</v>
      </c>
      <c r="D122">
        <v>7261.4085000000032</v>
      </c>
      <c r="E122" t="s">
        <v>232</v>
      </c>
      <c r="F122">
        <v>5643.3078863999999</v>
      </c>
      <c r="G122">
        <v>58.901313600000023</v>
      </c>
      <c r="H122">
        <v>2808.0310999999992</v>
      </c>
      <c r="I122">
        <v>15771.648800000003</v>
      </c>
    </row>
    <row r="123" spans="1:9" x14ac:dyDescent="0.25">
      <c r="A123" s="421" t="str">
        <f t="shared" si="7"/>
        <v>2023</v>
      </c>
      <c r="B123" s="421">
        <f t="shared" si="8"/>
        <v>17</v>
      </c>
      <c r="C123" s="163">
        <v>45042</v>
      </c>
      <c r="D123">
        <v>7261.4085000000032</v>
      </c>
      <c r="E123" t="s">
        <v>232</v>
      </c>
      <c r="F123">
        <v>5643.3078863999999</v>
      </c>
      <c r="G123">
        <v>58.901313600000023</v>
      </c>
      <c r="H123">
        <v>2808.0310999999992</v>
      </c>
      <c r="I123">
        <v>15771.648800000003</v>
      </c>
    </row>
    <row r="124" spans="1:9" x14ac:dyDescent="0.25">
      <c r="A124" s="421" t="str">
        <f t="shared" si="7"/>
        <v>2023</v>
      </c>
      <c r="B124" s="421">
        <f t="shared" si="8"/>
        <v>17</v>
      </c>
      <c r="C124" s="163">
        <v>45043</v>
      </c>
      <c r="D124">
        <v>7536.2191000000021</v>
      </c>
      <c r="E124" t="s">
        <v>232</v>
      </c>
      <c r="F124">
        <v>5783.409155899999</v>
      </c>
      <c r="G124">
        <v>58.593144100000032</v>
      </c>
      <c r="H124">
        <v>2921.8480999999992</v>
      </c>
      <c r="I124">
        <v>16300.0695</v>
      </c>
    </row>
    <row r="125" spans="1:9" x14ac:dyDescent="0.25">
      <c r="A125" s="421" t="str">
        <f t="shared" si="7"/>
        <v>2023</v>
      </c>
      <c r="B125" s="421">
        <f t="shared" si="8"/>
        <v>17</v>
      </c>
      <c r="C125" s="163">
        <v>45044</v>
      </c>
      <c r="D125">
        <v>7628.4570999999996</v>
      </c>
      <c r="E125" t="s">
        <v>232</v>
      </c>
      <c r="F125">
        <v>5784.8400408999987</v>
      </c>
      <c r="G125">
        <v>59.289259100000038</v>
      </c>
      <c r="H125">
        <v>3077.6570999999994</v>
      </c>
      <c r="I125">
        <v>16550.243499999997</v>
      </c>
    </row>
    <row r="126" spans="1:9" x14ac:dyDescent="0.25">
      <c r="A126" s="421" t="str">
        <f t="shared" si="7"/>
        <v>2023</v>
      </c>
      <c r="B126" s="421">
        <f t="shared" si="8"/>
        <v>18</v>
      </c>
      <c r="C126" s="163">
        <v>45048</v>
      </c>
      <c r="D126">
        <v>8100.9565000000002</v>
      </c>
      <c r="E126" t="s">
        <v>232</v>
      </c>
      <c r="F126">
        <v>5713.4988550000007</v>
      </c>
      <c r="G126">
        <v>59.640845000000027</v>
      </c>
      <c r="H126">
        <v>3408.7390999999998</v>
      </c>
      <c r="I126">
        <v>17282.835300000002</v>
      </c>
    </row>
    <row r="127" spans="1:9" x14ac:dyDescent="0.25">
      <c r="A127" s="421" t="str">
        <f t="shared" si="7"/>
        <v>2023</v>
      </c>
      <c r="B127" s="421">
        <f t="shared" si="8"/>
        <v>18</v>
      </c>
      <c r="C127" s="163">
        <v>45049</v>
      </c>
      <c r="D127">
        <v>8092.875399999999</v>
      </c>
      <c r="E127" t="s">
        <v>232</v>
      </c>
      <c r="F127">
        <v>5619.9311550000002</v>
      </c>
      <c r="G127">
        <v>59.64084500000002</v>
      </c>
      <c r="H127">
        <v>3576.2851000000001</v>
      </c>
      <c r="I127">
        <v>17348.732499999998</v>
      </c>
    </row>
    <row r="128" spans="1:9" x14ac:dyDescent="0.25">
      <c r="A128" s="421" t="str">
        <f t="shared" si="7"/>
        <v>2023</v>
      </c>
      <c r="B128" s="421">
        <f t="shared" si="8"/>
        <v>18</v>
      </c>
      <c r="C128" s="163">
        <v>45050</v>
      </c>
      <c r="D128">
        <v>8059.3534</v>
      </c>
      <c r="E128" t="s">
        <v>232</v>
      </c>
      <c r="F128">
        <v>5787.7114550000006</v>
      </c>
      <c r="G128">
        <v>59.640845000000013</v>
      </c>
      <c r="H128">
        <v>3755.8840999999993</v>
      </c>
      <c r="I128">
        <v>17662.589800000002</v>
      </c>
    </row>
    <row r="129" spans="1:9" x14ac:dyDescent="0.25">
      <c r="A129" s="421" t="str">
        <f t="shared" si="7"/>
        <v>2023</v>
      </c>
      <c r="B129" s="421">
        <f t="shared" si="8"/>
        <v>19</v>
      </c>
      <c r="C129" s="163">
        <v>45054</v>
      </c>
      <c r="D129">
        <v>8369.8913999999986</v>
      </c>
      <c r="E129" t="s">
        <v>232</v>
      </c>
      <c r="F129">
        <v>5854.5599953000001</v>
      </c>
      <c r="G129">
        <v>60.359504700000031</v>
      </c>
      <c r="H129">
        <v>3820.3681000000006</v>
      </c>
      <c r="I129">
        <v>18105.179</v>
      </c>
    </row>
    <row r="130" spans="1:9" x14ac:dyDescent="0.25">
      <c r="A130" s="421" t="str">
        <f t="shared" si="7"/>
        <v>2023</v>
      </c>
      <c r="B130" s="421">
        <f t="shared" si="8"/>
        <v>19</v>
      </c>
      <c r="C130" s="163">
        <v>45055</v>
      </c>
      <c r="D130">
        <v>8280.0338999999985</v>
      </c>
      <c r="E130" t="s">
        <v>232</v>
      </c>
      <c r="F130">
        <v>5868.9028688999988</v>
      </c>
      <c r="G130">
        <v>58.809231100000005</v>
      </c>
      <c r="H130">
        <v>3804.1301000000003</v>
      </c>
      <c r="I130">
        <v>18011.876099999998</v>
      </c>
    </row>
    <row r="131" spans="1:9" x14ac:dyDescent="0.25">
      <c r="A131" s="421" t="str">
        <f t="shared" si="7"/>
        <v>2023</v>
      </c>
      <c r="B131" s="421">
        <f t="shared" si="8"/>
        <v>19</v>
      </c>
      <c r="C131" s="163">
        <v>45056</v>
      </c>
      <c r="D131">
        <v>8087.4841000000033</v>
      </c>
      <c r="E131" t="s">
        <v>232</v>
      </c>
      <c r="F131">
        <v>6028.6492260000014</v>
      </c>
      <c r="G131">
        <v>58.74037400000001</v>
      </c>
      <c r="H131">
        <v>3592.6620999999986</v>
      </c>
      <c r="I131">
        <v>17767.535800000005</v>
      </c>
    </row>
    <row r="132" spans="1:9" x14ac:dyDescent="0.25">
      <c r="A132" s="421" t="str">
        <f t="shared" si="7"/>
        <v>2023</v>
      </c>
      <c r="B132" s="421">
        <f t="shared" si="8"/>
        <v>19</v>
      </c>
      <c r="C132" s="163">
        <v>45057</v>
      </c>
      <c r="D132">
        <v>7816.7628999999979</v>
      </c>
      <c r="E132" t="s">
        <v>232</v>
      </c>
      <c r="F132">
        <v>6155.8455259999992</v>
      </c>
      <c r="G132">
        <v>58.418474000000195</v>
      </c>
      <c r="H132">
        <v>3510.9380999999994</v>
      </c>
      <c r="I132">
        <v>17541.964999999997</v>
      </c>
    </row>
    <row r="133" spans="1:9" x14ac:dyDescent="0.25">
      <c r="A133" s="421" t="str">
        <f t="shared" si="7"/>
        <v>2023</v>
      </c>
      <c r="B133" s="421">
        <f t="shared" si="8"/>
        <v>19</v>
      </c>
      <c r="C133" s="163">
        <v>45058</v>
      </c>
      <c r="D133">
        <v>7789.2413999999972</v>
      </c>
      <c r="E133" t="s">
        <v>232</v>
      </c>
      <c r="F133">
        <v>6145.0227949999999</v>
      </c>
      <c r="G133">
        <v>55.523705000000206</v>
      </c>
      <c r="H133">
        <v>3628.0091000000002</v>
      </c>
      <c r="I133">
        <v>17617.796999999995</v>
      </c>
    </row>
    <row r="134" spans="1:9" x14ac:dyDescent="0.25">
      <c r="A134" s="421" t="str">
        <f t="shared" si="7"/>
        <v>2023</v>
      </c>
      <c r="B134" s="421">
        <f t="shared" si="8"/>
        <v>20</v>
      </c>
      <c r="C134" s="163">
        <v>45061</v>
      </c>
      <c r="D134">
        <v>7665.9122000000007</v>
      </c>
      <c r="E134" t="s">
        <v>232</v>
      </c>
      <c r="F134">
        <v>6060.5526949999985</v>
      </c>
      <c r="G134">
        <v>55.523705000000177</v>
      </c>
      <c r="H134">
        <v>3880.6641000000009</v>
      </c>
      <c r="I134">
        <v>17662.652699999999</v>
      </c>
    </row>
    <row r="135" spans="1:9" x14ac:dyDescent="0.25">
      <c r="A135" s="421" t="str">
        <f t="shared" si="7"/>
        <v>2023</v>
      </c>
      <c r="B135" s="421">
        <f t="shared" si="8"/>
        <v>20</v>
      </c>
      <c r="C135" s="163">
        <v>45062</v>
      </c>
      <c r="D135">
        <v>7550.2148000000016</v>
      </c>
      <c r="E135" t="s">
        <v>232</v>
      </c>
      <c r="F135">
        <v>5980.5095949999995</v>
      </c>
      <c r="G135">
        <v>59.745705000000193</v>
      </c>
      <c r="H135">
        <v>3729.4040999999988</v>
      </c>
      <c r="I135">
        <v>17319.874199999998</v>
      </c>
    </row>
    <row r="136" spans="1:9" x14ac:dyDescent="0.25">
      <c r="A136" s="421" t="str">
        <f t="shared" si="7"/>
        <v>2023</v>
      </c>
      <c r="B136" s="421">
        <f t="shared" si="8"/>
        <v>20</v>
      </c>
      <c r="C136" s="163">
        <v>45063</v>
      </c>
      <c r="D136">
        <v>7098.010000000002</v>
      </c>
      <c r="E136" t="s">
        <v>232</v>
      </c>
      <c r="F136">
        <v>5813.7677066999986</v>
      </c>
      <c r="G136">
        <v>59.862393300000207</v>
      </c>
      <c r="H136">
        <v>3572.9541000000008</v>
      </c>
      <c r="I136">
        <v>16544.5942</v>
      </c>
    </row>
    <row r="137" spans="1:9" x14ac:dyDescent="0.25">
      <c r="A137" s="421" t="str">
        <f t="shared" si="7"/>
        <v>2023</v>
      </c>
      <c r="B137" s="421">
        <f t="shared" si="8"/>
        <v>20</v>
      </c>
      <c r="C137" s="163">
        <v>45064</v>
      </c>
      <c r="D137">
        <v>6923.2504999999983</v>
      </c>
      <c r="E137" t="s">
        <v>232</v>
      </c>
      <c r="F137">
        <v>5894.8064001999992</v>
      </c>
      <c r="G137">
        <v>59.358599800000199</v>
      </c>
      <c r="H137">
        <v>3571.5511000000006</v>
      </c>
      <c r="I137">
        <v>16448.9666</v>
      </c>
    </row>
    <row r="138" spans="1:9" x14ac:dyDescent="0.25">
      <c r="A138" s="421" t="str">
        <f t="shared" si="7"/>
        <v>2023</v>
      </c>
      <c r="B138" s="421">
        <f t="shared" si="8"/>
        <v>20</v>
      </c>
      <c r="C138" s="163">
        <v>45065</v>
      </c>
      <c r="D138">
        <v>6673.0915000000005</v>
      </c>
      <c r="E138" t="s">
        <v>232</v>
      </c>
      <c r="F138">
        <v>5917.2968845999985</v>
      </c>
      <c r="G138">
        <v>59.633715400000149</v>
      </c>
      <c r="H138">
        <v>3577.7191000000003</v>
      </c>
      <c r="I138">
        <v>16227.741199999999</v>
      </c>
    </row>
    <row r="139" spans="1:9" x14ac:dyDescent="0.25">
      <c r="A139" s="421" t="str">
        <f t="shared" si="7"/>
        <v>2023</v>
      </c>
      <c r="B139" s="421">
        <f t="shared" si="8"/>
        <v>21</v>
      </c>
      <c r="C139" s="163">
        <v>45068</v>
      </c>
      <c r="D139">
        <v>7226.784599999999</v>
      </c>
      <c r="E139" t="s">
        <v>232</v>
      </c>
      <c r="F139">
        <v>5858.0255638999997</v>
      </c>
      <c r="G139">
        <v>66.585836100000151</v>
      </c>
      <c r="H139">
        <v>3655.5039999999999</v>
      </c>
      <c r="I139">
        <v>16806.899999999998</v>
      </c>
    </row>
    <row r="140" spans="1:9" x14ac:dyDescent="0.25">
      <c r="A140" s="421" t="str">
        <f t="shared" si="7"/>
        <v>2023</v>
      </c>
      <c r="B140" s="421">
        <f t="shared" si="8"/>
        <v>21</v>
      </c>
      <c r="C140" s="163">
        <v>45069</v>
      </c>
      <c r="D140">
        <v>7233.6712000000025</v>
      </c>
      <c r="E140" t="s">
        <v>232</v>
      </c>
      <c r="F140">
        <v>5880.3419516999984</v>
      </c>
      <c r="G140">
        <v>68.014848300000153</v>
      </c>
      <c r="H140">
        <v>3307.1999000000005</v>
      </c>
      <c r="I140">
        <v>16489.227900000002</v>
      </c>
    </row>
    <row r="141" spans="1:9" x14ac:dyDescent="0.25">
      <c r="A141" s="421" t="str">
        <f t="shared" si="7"/>
        <v>2023</v>
      </c>
      <c r="B141" s="421">
        <f t="shared" si="8"/>
        <v>21</v>
      </c>
      <c r="C141" s="163">
        <v>45070</v>
      </c>
      <c r="D141">
        <v>7069.9408000000039</v>
      </c>
      <c r="E141" t="s">
        <v>232</v>
      </c>
      <c r="F141">
        <v>5732.2727661999988</v>
      </c>
      <c r="G141">
        <v>72.905933800000184</v>
      </c>
      <c r="H141">
        <v>3137.8548999999994</v>
      </c>
      <c r="I141">
        <v>16012.974400000003</v>
      </c>
    </row>
    <row r="142" spans="1:9" x14ac:dyDescent="0.25">
      <c r="A142" s="421" t="str">
        <f t="shared" si="7"/>
        <v>2023</v>
      </c>
      <c r="B142" s="421">
        <f t="shared" si="8"/>
        <v>21</v>
      </c>
      <c r="C142" s="163">
        <v>45071</v>
      </c>
      <c r="D142">
        <v>7117.8004999999976</v>
      </c>
      <c r="E142" t="s">
        <v>232</v>
      </c>
      <c r="F142">
        <v>5885.0926470000004</v>
      </c>
      <c r="G142">
        <v>74.233653000000174</v>
      </c>
      <c r="H142">
        <v>2990.0938999999989</v>
      </c>
      <c r="I142">
        <v>16067.220699999998</v>
      </c>
    </row>
    <row r="143" spans="1:9" x14ac:dyDescent="0.25">
      <c r="A143" s="421" t="str">
        <f t="shared" si="7"/>
        <v>2023</v>
      </c>
      <c r="B143" s="421">
        <f t="shared" si="8"/>
        <v>21</v>
      </c>
      <c r="C143" s="163">
        <v>45072</v>
      </c>
      <c r="D143">
        <v>7097.8042000000023</v>
      </c>
      <c r="E143" t="s">
        <v>232</v>
      </c>
      <c r="F143">
        <v>5859.2837866</v>
      </c>
      <c r="G143">
        <v>74.183813400000176</v>
      </c>
      <c r="H143">
        <v>2884.0979000000007</v>
      </c>
      <c r="I143">
        <v>15915.369700000005</v>
      </c>
    </row>
    <row r="144" spans="1:9" x14ac:dyDescent="0.25">
      <c r="A144" s="421" t="str">
        <f t="shared" si="7"/>
        <v>2023</v>
      </c>
      <c r="B144" s="421">
        <f t="shared" si="8"/>
        <v>22</v>
      </c>
      <c r="C144" s="163">
        <v>45075</v>
      </c>
      <c r="D144">
        <v>7559.2116999999998</v>
      </c>
      <c r="E144">
        <v>170.98049999999967</v>
      </c>
      <c r="F144">
        <v>5694.6686746999994</v>
      </c>
      <c r="G144">
        <v>74.203325300000188</v>
      </c>
      <c r="H144">
        <v>2990.6800999999996</v>
      </c>
      <c r="I144">
        <v>16489.744299999998</v>
      </c>
    </row>
    <row r="145" spans="1:9" x14ac:dyDescent="0.25">
      <c r="A145" s="421" t="str">
        <f t="shared" si="7"/>
        <v>2023</v>
      </c>
      <c r="B145" s="421">
        <f t="shared" si="8"/>
        <v>22</v>
      </c>
      <c r="C145" s="163">
        <v>45076</v>
      </c>
      <c r="D145">
        <v>7444.9185000000034</v>
      </c>
      <c r="E145">
        <v>62.596499999999651</v>
      </c>
      <c r="F145">
        <v>5690.1755084999995</v>
      </c>
      <c r="G145">
        <v>74.471991500000186</v>
      </c>
      <c r="H145">
        <v>2873.8900999999996</v>
      </c>
      <c r="I145">
        <v>16146.052600000003</v>
      </c>
    </row>
    <row r="146" spans="1:9" x14ac:dyDescent="0.25">
      <c r="A146" s="421" t="str">
        <f t="shared" si="7"/>
        <v>2023</v>
      </c>
      <c r="B146" s="421">
        <f t="shared" si="8"/>
        <v>22</v>
      </c>
      <c r="C146" s="163">
        <v>45077</v>
      </c>
      <c r="D146">
        <v>7224.6035000000011</v>
      </c>
      <c r="E146">
        <v>35.164499999999862</v>
      </c>
      <c r="F146">
        <v>5581.0121249999993</v>
      </c>
      <c r="G146">
        <v>74.986975000000172</v>
      </c>
      <c r="H146">
        <v>2964.3391000000001</v>
      </c>
      <c r="I146">
        <v>15880.106200000002</v>
      </c>
    </row>
    <row r="147" spans="1:9" x14ac:dyDescent="0.25">
      <c r="A147" s="421" t="str">
        <f t="shared" si="7"/>
        <v>2023</v>
      </c>
      <c r="B147" s="421">
        <f t="shared" si="8"/>
        <v>22</v>
      </c>
      <c r="C147" s="163">
        <v>45078</v>
      </c>
      <c r="D147">
        <v>7350.5060000000012</v>
      </c>
      <c r="E147">
        <v>249.46849999999995</v>
      </c>
      <c r="F147">
        <v>5683.4678249999997</v>
      </c>
      <c r="G147">
        <v>75.006975000000168</v>
      </c>
      <c r="H147">
        <v>3091.5931</v>
      </c>
      <c r="I147">
        <v>16450.042399999998</v>
      </c>
    </row>
    <row r="148" spans="1:9" x14ac:dyDescent="0.25">
      <c r="A148" s="421" t="str">
        <f t="shared" si="7"/>
        <v>2023</v>
      </c>
      <c r="B148" s="421">
        <f t="shared" si="8"/>
        <v>22</v>
      </c>
      <c r="C148" s="163">
        <v>45079</v>
      </c>
      <c r="D148">
        <v>7256.9987999999994</v>
      </c>
      <c r="E148">
        <v>331.2505000000001</v>
      </c>
      <c r="F148">
        <v>5603.4265250000008</v>
      </c>
      <c r="G148">
        <v>74.986975000000172</v>
      </c>
      <c r="H148">
        <v>3123.0241000000005</v>
      </c>
      <c r="I148">
        <v>16389.686900000001</v>
      </c>
    </row>
    <row r="149" spans="1:9" x14ac:dyDescent="0.25">
      <c r="A149" s="421" t="str">
        <f t="shared" si="7"/>
        <v>2023</v>
      </c>
      <c r="B149" s="421">
        <f t="shared" si="8"/>
        <v>23</v>
      </c>
      <c r="C149" s="163">
        <v>45082</v>
      </c>
      <c r="D149">
        <v>7256.9987999999994</v>
      </c>
      <c r="E149">
        <v>331.2505000000001</v>
      </c>
      <c r="F149">
        <v>5603.4265250000008</v>
      </c>
      <c r="G149">
        <v>74.986975000000172</v>
      </c>
      <c r="H149">
        <v>3123.0241000000005</v>
      </c>
      <c r="I149">
        <v>16389.686900000001</v>
      </c>
    </row>
    <row r="150" spans="1:9" x14ac:dyDescent="0.25">
      <c r="A150" s="421" t="str">
        <f t="shared" si="7"/>
        <v>2023</v>
      </c>
      <c r="B150" s="421">
        <f t="shared" si="8"/>
        <v>23</v>
      </c>
      <c r="C150" s="163">
        <v>45083</v>
      </c>
      <c r="D150">
        <v>7387.9599000000017</v>
      </c>
      <c r="E150">
        <v>368.28650000000016</v>
      </c>
      <c r="F150">
        <v>5584.5797249999996</v>
      </c>
      <c r="G150">
        <v>74.986975000000172</v>
      </c>
      <c r="H150">
        <v>3262.3760000000002</v>
      </c>
      <c r="I150">
        <v>16678.189100000003</v>
      </c>
    </row>
    <row r="151" spans="1:9" x14ac:dyDescent="0.25">
      <c r="A151" s="421" t="str">
        <f t="shared" si="7"/>
        <v>2023</v>
      </c>
      <c r="B151" s="421">
        <f t="shared" si="8"/>
        <v>23</v>
      </c>
      <c r="C151" s="163">
        <v>45084</v>
      </c>
      <c r="D151">
        <v>6918.1821000000018</v>
      </c>
      <c r="E151" t="s">
        <v>232</v>
      </c>
      <c r="F151">
        <v>5482.3785331000008</v>
      </c>
      <c r="G151">
        <v>71.451366900000181</v>
      </c>
      <c r="H151">
        <v>3145.1871000000001</v>
      </c>
      <c r="I151">
        <v>15617.199100000002</v>
      </c>
    </row>
    <row r="152" spans="1:9" x14ac:dyDescent="0.25">
      <c r="A152" s="421" t="str">
        <f t="shared" si="7"/>
        <v>2023</v>
      </c>
      <c r="B152" s="421">
        <f t="shared" si="8"/>
        <v>23</v>
      </c>
      <c r="C152" s="163">
        <v>45085</v>
      </c>
      <c r="D152">
        <v>6819.0045000000009</v>
      </c>
      <c r="E152" t="s">
        <v>232</v>
      </c>
      <c r="F152">
        <v>5641.171875</v>
      </c>
      <c r="G152">
        <v>71.462025000000182</v>
      </c>
      <c r="H152">
        <v>3063.5621000000001</v>
      </c>
      <c r="I152">
        <v>15595.200500000003</v>
      </c>
    </row>
    <row r="153" spans="1:9" x14ac:dyDescent="0.25">
      <c r="A153" s="421" t="str">
        <f t="shared" si="7"/>
        <v>2023</v>
      </c>
      <c r="B153" s="421">
        <f t="shared" si="8"/>
        <v>23</v>
      </c>
      <c r="C153" s="163">
        <v>45086</v>
      </c>
      <c r="D153">
        <v>6203.0392999999967</v>
      </c>
      <c r="E153" t="s">
        <v>232</v>
      </c>
      <c r="F153">
        <v>5494.055374999999</v>
      </c>
      <c r="G153">
        <v>70.588025000000187</v>
      </c>
      <c r="H153">
        <v>2878.0901000000003</v>
      </c>
      <c r="I153">
        <v>14645.772799999999</v>
      </c>
    </row>
    <row r="154" spans="1:9" x14ac:dyDescent="0.25">
      <c r="A154" s="421" t="str">
        <f t="shared" si="7"/>
        <v>2023</v>
      </c>
      <c r="B154" s="421">
        <f t="shared" si="8"/>
        <v>24</v>
      </c>
      <c r="C154" s="163">
        <v>45089</v>
      </c>
      <c r="D154">
        <v>6818.1533999999956</v>
      </c>
      <c r="E154">
        <v>57.47400000000016</v>
      </c>
      <c r="F154">
        <v>5415.9673750000002</v>
      </c>
      <c r="G154">
        <v>70.588025000000187</v>
      </c>
      <c r="H154">
        <v>3065.2291000000005</v>
      </c>
      <c r="I154">
        <v>15427.411899999997</v>
      </c>
    </row>
    <row r="155" spans="1:9" x14ac:dyDescent="0.25">
      <c r="A155" s="421" t="str">
        <f t="shared" si="7"/>
        <v>2023</v>
      </c>
      <c r="B155" s="421">
        <f t="shared" si="8"/>
        <v>24</v>
      </c>
      <c r="C155" s="163">
        <v>45091</v>
      </c>
      <c r="D155">
        <v>6900.4074000000001</v>
      </c>
      <c r="E155" t="s">
        <v>232</v>
      </c>
      <c r="F155">
        <v>5237.1967309999991</v>
      </c>
      <c r="G155">
        <v>70.714969000000181</v>
      </c>
      <c r="H155">
        <v>2742.9120000000003</v>
      </c>
      <c r="I155">
        <v>14951.231100000001</v>
      </c>
    </row>
    <row r="156" spans="1:9" x14ac:dyDescent="0.25">
      <c r="A156" s="421" t="str">
        <f t="shared" si="7"/>
        <v>2023</v>
      </c>
      <c r="B156" s="421">
        <f t="shared" si="8"/>
        <v>24</v>
      </c>
      <c r="C156" s="163">
        <v>45092</v>
      </c>
      <c r="D156">
        <v>7103.2161000000015</v>
      </c>
      <c r="E156" t="s">
        <v>232</v>
      </c>
      <c r="F156">
        <v>5394.9897309999997</v>
      </c>
      <c r="G156">
        <v>70.714969000000181</v>
      </c>
      <c r="H156">
        <v>2715.3109999999997</v>
      </c>
      <c r="I156">
        <v>15284.231800000001</v>
      </c>
    </row>
    <row r="157" spans="1:9" x14ac:dyDescent="0.25">
      <c r="A157" s="421" t="str">
        <f t="shared" si="7"/>
        <v>2023</v>
      </c>
      <c r="B157" s="421">
        <f t="shared" si="8"/>
        <v>24</v>
      </c>
      <c r="C157" s="163">
        <v>45093</v>
      </c>
      <c r="D157">
        <v>7083.9557999999997</v>
      </c>
      <c r="E157" t="s">
        <v>232</v>
      </c>
      <c r="F157">
        <v>5233.178581000001</v>
      </c>
      <c r="G157">
        <v>70.629819000000182</v>
      </c>
      <c r="H157">
        <v>2676.866</v>
      </c>
      <c r="I157">
        <v>15064.6302</v>
      </c>
    </row>
    <row r="158" spans="1:9" x14ac:dyDescent="0.25">
      <c r="A158" s="421" t="str">
        <f t="shared" si="7"/>
        <v>2023</v>
      </c>
      <c r="B158" s="421">
        <f t="shared" si="8"/>
        <v>25</v>
      </c>
      <c r="C158" s="163">
        <v>45096</v>
      </c>
      <c r="D158">
        <v>7834.2653000000009</v>
      </c>
      <c r="E158" t="s">
        <v>232</v>
      </c>
      <c r="F158">
        <v>5132.7512809999998</v>
      </c>
      <c r="G158">
        <v>70.877819000000173</v>
      </c>
      <c r="H158">
        <v>2772.076</v>
      </c>
      <c r="I158">
        <v>15809.970399999998</v>
      </c>
    </row>
    <row r="159" spans="1:9" x14ac:dyDescent="0.25">
      <c r="A159" s="421" t="str">
        <f t="shared" si="7"/>
        <v>2023</v>
      </c>
      <c r="B159" s="421">
        <f t="shared" si="8"/>
        <v>25</v>
      </c>
      <c r="C159" s="163">
        <v>45097</v>
      </c>
      <c r="D159">
        <v>7614.8267000000014</v>
      </c>
      <c r="E159" t="s">
        <v>232</v>
      </c>
      <c r="F159">
        <v>5195.2046675000001</v>
      </c>
      <c r="G159">
        <v>70.032632500000162</v>
      </c>
      <c r="H159">
        <v>2647.2040000000006</v>
      </c>
      <c r="I159">
        <v>15527.268000000004</v>
      </c>
    </row>
    <row r="160" spans="1:9" x14ac:dyDescent="0.25">
      <c r="A160" s="421" t="str">
        <f t="shared" si="7"/>
        <v>2023</v>
      </c>
      <c r="B160" s="421">
        <f t="shared" si="8"/>
        <v>25</v>
      </c>
      <c r="C160" s="163">
        <v>45098</v>
      </c>
      <c r="D160">
        <v>7370.7792000000045</v>
      </c>
      <c r="E160" t="s">
        <v>232</v>
      </c>
      <c r="F160">
        <v>5311.3206166000009</v>
      </c>
      <c r="G160">
        <v>70.893083400000179</v>
      </c>
      <c r="H160">
        <v>2605.8661000000002</v>
      </c>
      <c r="I160">
        <v>15358.859000000008</v>
      </c>
    </row>
    <row r="161" spans="1:9" x14ac:dyDescent="0.25">
      <c r="A161" s="421" t="str">
        <f t="shared" si="7"/>
        <v>2023</v>
      </c>
      <c r="B161" s="421">
        <f t="shared" si="8"/>
        <v>25</v>
      </c>
      <c r="C161" s="163">
        <v>45099</v>
      </c>
      <c r="D161">
        <v>7307.8281999999999</v>
      </c>
      <c r="E161" t="s">
        <v>232</v>
      </c>
      <c r="F161">
        <v>5461.5125799999996</v>
      </c>
      <c r="G161">
        <v>71.285320000000183</v>
      </c>
      <c r="H161">
        <v>2617.5450000000001</v>
      </c>
      <c r="I161">
        <v>15458.1711</v>
      </c>
    </row>
    <row r="162" spans="1:9" x14ac:dyDescent="0.25">
      <c r="A162" s="421" t="str">
        <f t="shared" si="7"/>
        <v>2023</v>
      </c>
      <c r="B162" s="421">
        <f t="shared" si="8"/>
        <v>25</v>
      </c>
      <c r="C162" s="163">
        <v>45100</v>
      </c>
      <c r="D162">
        <v>6888.7498999999971</v>
      </c>
      <c r="E162" t="s">
        <v>232</v>
      </c>
      <c r="F162">
        <v>5343.433892</v>
      </c>
      <c r="G162">
        <v>70.109608000000208</v>
      </c>
      <c r="H162">
        <v>2739.3739999999998</v>
      </c>
      <c r="I162">
        <v>15041.667399999997</v>
      </c>
    </row>
    <row r="163" spans="1:9" x14ac:dyDescent="0.25">
      <c r="A163" s="421" t="str">
        <f t="shared" si="7"/>
        <v>2023</v>
      </c>
      <c r="B163" s="421">
        <f t="shared" si="8"/>
        <v>26</v>
      </c>
      <c r="C163" s="163">
        <v>45103</v>
      </c>
      <c r="D163">
        <v>7257.6555999999964</v>
      </c>
      <c r="E163">
        <v>72.677499999999782</v>
      </c>
      <c r="F163">
        <v>5365.5762792000005</v>
      </c>
      <c r="G163">
        <v>70.509220800000179</v>
      </c>
      <c r="H163">
        <v>3379.41</v>
      </c>
      <c r="I163">
        <v>16145.828599999997</v>
      </c>
    </row>
    <row r="164" spans="1:9" x14ac:dyDescent="0.25">
      <c r="A164" s="421" t="str">
        <f t="shared" si="7"/>
        <v>2023</v>
      </c>
      <c r="B164" s="421">
        <f t="shared" si="8"/>
        <v>26</v>
      </c>
      <c r="C164" s="163">
        <v>45104</v>
      </c>
      <c r="D164">
        <v>7909.1377999999986</v>
      </c>
      <c r="E164">
        <v>66.136999999999716</v>
      </c>
      <c r="F164">
        <v>5329.9924948000007</v>
      </c>
      <c r="G164">
        <v>69.198405200000167</v>
      </c>
      <c r="H164">
        <v>3403.4450000000015</v>
      </c>
      <c r="I164">
        <v>16777.9107</v>
      </c>
    </row>
    <row r="165" spans="1:9" x14ac:dyDescent="0.25">
      <c r="A165" s="421" t="str">
        <f t="shared" si="7"/>
        <v>2023</v>
      </c>
      <c r="B165" s="421">
        <f t="shared" si="8"/>
        <v>26</v>
      </c>
      <c r="C165" s="163">
        <v>45105</v>
      </c>
      <c r="D165">
        <v>7650.1560000000009</v>
      </c>
      <c r="E165">
        <v>13.761999999999716</v>
      </c>
      <c r="F165">
        <v>5383.1078170000001</v>
      </c>
      <c r="G165">
        <v>68.7495830000002</v>
      </c>
      <c r="H165">
        <v>3266.7720000000008</v>
      </c>
      <c r="I165">
        <v>16382.547400000003</v>
      </c>
    </row>
    <row r="166" spans="1:9" x14ac:dyDescent="0.25">
      <c r="A166" s="421" t="str">
        <f t="shared" si="7"/>
        <v>2023</v>
      </c>
      <c r="B166" s="421">
        <f t="shared" si="8"/>
        <v>26</v>
      </c>
      <c r="C166" s="163">
        <v>45106</v>
      </c>
      <c r="D166">
        <v>7884.8694999999971</v>
      </c>
      <c r="E166" t="s">
        <v>232</v>
      </c>
      <c r="F166">
        <v>5330.0000146999992</v>
      </c>
      <c r="G166">
        <v>69.752385300000185</v>
      </c>
      <c r="H166">
        <v>3121.0860000000002</v>
      </c>
      <c r="I166">
        <v>16405.707899999998</v>
      </c>
    </row>
    <row r="167" spans="1:9" x14ac:dyDescent="0.25">
      <c r="A167" s="421" t="str">
        <f t="shared" si="7"/>
        <v>2023</v>
      </c>
      <c r="B167" s="421">
        <f t="shared" si="8"/>
        <v>26</v>
      </c>
      <c r="C167" s="163">
        <v>45107</v>
      </c>
      <c r="D167">
        <v>7795.9993000000013</v>
      </c>
      <c r="E167" t="s">
        <v>232</v>
      </c>
      <c r="F167">
        <v>5271.7492140000004</v>
      </c>
      <c r="G167">
        <v>60.567586000000176</v>
      </c>
      <c r="H167">
        <v>3001.6639999999998</v>
      </c>
      <c r="I167">
        <v>16129.980100000004</v>
      </c>
    </row>
    <row r="168" spans="1:9" x14ac:dyDescent="0.25">
      <c r="A168" s="421" t="str">
        <f t="shared" si="7"/>
        <v>2023</v>
      </c>
      <c r="B168" s="421">
        <f t="shared" si="8"/>
        <v>27</v>
      </c>
      <c r="C168" s="163">
        <v>45111</v>
      </c>
      <c r="D168">
        <v>8253.1868000000013</v>
      </c>
      <c r="E168" t="s">
        <v>232</v>
      </c>
      <c r="F168">
        <v>5224.2008139999989</v>
      </c>
      <c r="G168">
        <v>60.553586000000152</v>
      </c>
      <c r="H168">
        <v>3556.0190000000002</v>
      </c>
      <c r="I168">
        <v>17093.960200000001</v>
      </c>
    </row>
    <row r="169" spans="1:9" x14ac:dyDescent="0.25">
      <c r="A169" s="421" t="str">
        <f t="shared" si="7"/>
        <v>2023</v>
      </c>
      <c r="B169" s="421">
        <f t="shared" si="8"/>
        <v>27</v>
      </c>
      <c r="C169" s="163">
        <v>45112</v>
      </c>
      <c r="D169">
        <v>8112.2430999999979</v>
      </c>
      <c r="E169" t="s">
        <v>232</v>
      </c>
      <c r="F169">
        <v>5250.6405880000002</v>
      </c>
      <c r="G169">
        <v>60.553586000000166</v>
      </c>
      <c r="H169">
        <v>3337.2430000000004</v>
      </c>
      <c r="I169">
        <v>16760.680273999998</v>
      </c>
    </row>
    <row r="170" spans="1:9" x14ac:dyDescent="0.25">
      <c r="A170" s="421" t="str">
        <f t="shared" si="7"/>
        <v>2023</v>
      </c>
      <c r="B170" s="421">
        <f t="shared" si="8"/>
        <v>27</v>
      </c>
      <c r="C170" s="163">
        <v>45113</v>
      </c>
      <c r="D170">
        <v>8046.4346000000005</v>
      </c>
      <c r="E170" t="s">
        <v>232</v>
      </c>
      <c r="F170">
        <v>5321.4062880000001</v>
      </c>
      <c r="G170">
        <v>58.781586000000161</v>
      </c>
      <c r="H170">
        <v>3390.1990000000005</v>
      </c>
      <c r="I170">
        <v>16816.821474000004</v>
      </c>
    </row>
    <row r="171" spans="1:9" x14ac:dyDescent="0.25">
      <c r="A171" s="421" t="str">
        <f t="shared" si="7"/>
        <v>2023</v>
      </c>
      <c r="B171" s="421">
        <f t="shared" si="8"/>
        <v>27</v>
      </c>
      <c r="C171" s="163">
        <v>45114</v>
      </c>
      <c r="D171">
        <v>7902.1403999999966</v>
      </c>
      <c r="E171" t="s">
        <v>232</v>
      </c>
      <c r="F171">
        <v>5375.9869311000011</v>
      </c>
      <c r="G171">
        <v>58.334042900000142</v>
      </c>
      <c r="H171">
        <v>3313.7139999999999</v>
      </c>
      <c r="I171">
        <v>16650.175373999999</v>
      </c>
    </row>
    <row r="172" spans="1:9" x14ac:dyDescent="0.25">
      <c r="A172" s="421" t="str">
        <f t="shared" si="7"/>
        <v>2023</v>
      </c>
      <c r="B172" s="421">
        <f t="shared" si="8"/>
        <v>28</v>
      </c>
      <c r="C172" s="163">
        <v>45117</v>
      </c>
      <c r="D172">
        <v>8163.7920000000013</v>
      </c>
      <c r="E172" t="s">
        <v>232</v>
      </c>
      <c r="F172">
        <v>5278.0471959999995</v>
      </c>
      <c r="G172">
        <v>60.089778000000152</v>
      </c>
      <c r="H172">
        <v>3730.1781000000001</v>
      </c>
      <c r="I172">
        <v>17232.107074</v>
      </c>
    </row>
    <row r="173" spans="1:9" x14ac:dyDescent="0.25">
      <c r="A173" s="421" t="str">
        <f t="shared" si="7"/>
        <v>2023</v>
      </c>
      <c r="B173" s="421">
        <f t="shared" si="8"/>
        <v>28</v>
      </c>
      <c r="C173" s="163">
        <v>45118</v>
      </c>
      <c r="D173">
        <v>10957.891599999999</v>
      </c>
      <c r="E173" t="s">
        <v>232</v>
      </c>
      <c r="F173">
        <v>5181.2962019999995</v>
      </c>
      <c r="G173">
        <v>61.65537200000017</v>
      </c>
      <c r="H173">
        <v>3636.2200999999995</v>
      </c>
      <c r="I173">
        <v>19837.063273999996</v>
      </c>
    </row>
    <row r="174" spans="1:9" x14ac:dyDescent="0.25">
      <c r="A174" s="421" t="str">
        <f t="shared" si="7"/>
        <v>2023</v>
      </c>
      <c r="B174" s="421">
        <f t="shared" si="8"/>
        <v>28</v>
      </c>
      <c r="C174" s="163">
        <v>45119</v>
      </c>
      <c r="D174">
        <v>10708.5861</v>
      </c>
      <c r="E174" t="s">
        <v>232</v>
      </c>
      <c r="F174">
        <v>5056.4167612000019</v>
      </c>
      <c r="G174">
        <v>60.989512800000163</v>
      </c>
      <c r="H174">
        <v>3749.3050000000003</v>
      </c>
      <c r="I174">
        <v>19575.297374000002</v>
      </c>
    </row>
    <row r="175" spans="1:9" x14ac:dyDescent="0.25">
      <c r="A175" s="421" t="str">
        <f t="shared" si="7"/>
        <v>2023</v>
      </c>
      <c r="B175" s="421">
        <f t="shared" si="8"/>
        <v>28</v>
      </c>
      <c r="C175" s="163">
        <v>45120</v>
      </c>
      <c r="D175">
        <v>10691.479100000002</v>
      </c>
      <c r="E175" t="s">
        <v>232</v>
      </c>
      <c r="F175">
        <v>5238.2161879999994</v>
      </c>
      <c r="G175">
        <v>55.664786000000127</v>
      </c>
      <c r="H175">
        <v>3667.0031000000008</v>
      </c>
      <c r="I175">
        <v>19652.363174000002</v>
      </c>
    </row>
    <row r="176" spans="1:9" x14ac:dyDescent="0.25">
      <c r="A176" s="421" t="str">
        <f t="shared" si="7"/>
        <v>2023</v>
      </c>
      <c r="B176" s="421">
        <f t="shared" si="8"/>
        <v>28</v>
      </c>
      <c r="C176" s="163">
        <v>45121</v>
      </c>
      <c r="D176">
        <v>10822.867600000001</v>
      </c>
      <c r="E176" t="s">
        <v>232</v>
      </c>
      <c r="F176">
        <v>5179.9424559999998</v>
      </c>
      <c r="G176">
        <v>54.774466000000118</v>
      </c>
      <c r="H176">
        <v>3564.8610999999992</v>
      </c>
      <c r="I176">
        <v>19622.445622000003</v>
      </c>
    </row>
    <row r="177" spans="1:9" x14ac:dyDescent="0.25">
      <c r="A177" s="421" t="str">
        <f t="shared" si="7"/>
        <v>2023</v>
      </c>
      <c r="B177" s="421">
        <f t="shared" si="8"/>
        <v>29</v>
      </c>
      <c r="C177" s="163">
        <v>45124</v>
      </c>
      <c r="D177">
        <v>11030.8796</v>
      </c>
      <c r="E177" t="s">
        <v>232</v>
      </c>
      <c r="F177">
        <v>5063.845994899998</v>
      </c>
      <c r="G177">
        <v>53.419265100000146</v>
      </c>
      <c r="H177">
        <v>3924.1670999999988</v>
      </c>
      <c r="I177">
        <v>20072.311959999999</v>
      </c>
    </row>
    <row r="178" spans="1:9" x14ac:dyDescent="0.25">
      <c r="A178" s="421" t="str">
        <f t="shared" si="7"/>
        <v>2023</v>
      </c>
      <c r="B178" s="421">
        <f t="shared" si="8"/>
        <v>29</v>
      </c>
      <c r="C178" s="163">
        <v>45128</v>
      </c>
      <c r="D178">
        <v>11596.328100000001</v>
      </c>
      <c r="E178" t="s">
        <v>232</v>
      </c>
      <c r="F178">
        <v>4741.2816526999986</v>
      </c>
      <c r="G178">
        <v>60.560633300000141</v>
      </c>
      <c r="H178">
        <v>3786.8591000000006</v>
      </c>
      <c r="I178">
        <v>20185.029485999999</v>
      </c>
    </row>
  </sheetData>
  <pageMargins left="0.7" right="0.7" top="0.75" bottom="0.75" header="0.3" footer="0.3"/>
  <pageSetup orientation="portrait" horizontalDpi="4294967292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1FC91-2FD4-4E27-A980-655C78C80692}">
  <sheetPr codeName="Sheet23"/>
  <dimension ref="B1:V18"/>
  <sheetViews>
    <sheetView topLeftCell="B1" workbookViewId="0">
      <pane xSplit="1" ySplit="1" topLeftCell="C2" activePane="bottomRight" state="frozen"/>
      <selection pane="topRight" activeCell="C1" sqref="C1"/>
      <selection pane="bottomLeft" activeCell="B2" sqref="B2"/>
      <selection pane="bottomRight" activeCell="C2" sqref="C2"/>
    </sheetView>
  </sheetViews>
  <sheetFormatPr defaultRowHeight="15" x14ac:dyDescent="0.25"/>
  <cols>
    <col min="2" max="2" width="33.7109375" bestFit="1" customWidth="1"/>
    <col min="12" max="12" width="21" bestFit="1" customWidth="1"/>
  </cols>
  <sheetData>
    <row r="1" spans="2:22" ht="15.75" thickBot="1" x14ac:dyDescent="0.3">
      <c r="C1" s="368">
        <v>44874</v>
      </c>
      <c r="D1" s="368">
        <v>44875</v>
      </c>
      <c r="E1" s="368">
        <v>44876</v>
      </c>
      <c r="F1" s="368">
        <v>44879</v>
      </c>
      <c r="G1" s="368">
        <v>44880</v>
      </c>
      <c r="H1" s="368">
        <v>44881</v>
      </c>
      <c r="I1" s="368">
        <v>44882</v>
      </c>
      <c r="J1" s="368">
        <v>44883</v>
      </c>
      <c r="K1" s="368">
        <v>44886</v>
      </c>
      <c r="L1" s="368">
        <v>44887</v>
      </c>
      <c r="M1" s="368">
        <v>44888</v>
      </c>
      <c r="N1" s="368">
        <v>44889</v>
      </c>
      <c r="O1" s="368">
        <v>44890</v>
      </c>
      <c r="P1" s="368">
        <v>44893</v>
      </c>
      <c r="Q1" s="368">
        <v>44894</v>
      </c>
      <c r="R1" s="368">
        <v>44895</v>
      </c>
      <c r="S1" s="368">
        <v>44896</v>
      </c>
      <c r="T1" s="368">
        <v>44897</v>
      </c>
      <c r="U1" s="368">
        <v>44900</v>
      </c>
      <c r="V1" s="368">
        <v>44901</v>
      </c>
    </row>
    <row r="2" spans="2:22" ht="15.75" thickBot="1" x14ac:dyDescent="0.3">
      <c r="B2" s="160" t="s">
        <v>63</v>
      </c>
      <c r="C2">
        <v>3193.5739640000002</v>
      </c>
      <c r="D2">
        <v>3503.5715640000017</v>
      </c>
      <c r="E2">
        <v>3603.2228640000021</v>
      </c>
      <c r="F2">
        <v>3455.1154552000007</v>
      </c>
      <c r="G2">
        <v>3340.4197552000014</v>
      </c>
      <c r="H2" s="379">
        <v>3068</v>
      </c>
      <c r="I2">
        <v>3379.2475640000002</v>
      </c>
      <c r="J2">
        <v>3333.0017739999994</v>
      </c>
      <c r="K2">
        <v>3221.4635739999994</v>
      </c>
      <c r="L2">
        <v>3331.3582059999999</v>
      </c>
      <c r="M2">
        <v>3310.6593300000004</v>
      </c>
      <c r="N2">
        <v>3294.1029300000009</v>
      </c>
      <c r="O2">
        <v>3414.6021838999977</v>
      </c>
      <c r="P2">
        <v>3332.5169551999998</v>
      </c>
      <c r="Q2">
        <v>3288.8511080000007</v>
      </c>
      <c r="R2">
        <v>3424.1569580000005</v>
      </c>
      <c r="S2">
        <v>3447.0552579999985</v>
      </c>
      <c r="T2">
        <v>3322.931607999999</v>
      </c>
      <c r="U2">
        <v>3438.5882080000001</v>
      </c>
      <c r="V2" s="122">
        <v>3477.7468079999999</v>
      </c>
    </row>
    <row r="3" spans="2:22" ht="15.75" thickBot="1" x14ac:dyDescent="0.3">
      <c r="B3" s="160" t="s">
        <v>68</v>
      </c>
      <c r="C3">
        <v>87.063735999999992</v>
      </c>
      <c r="D3">
        <v>87.063735999999992</v>
      </c>
      <c r="E3">
        <v>87.063735999999992</v>
      </c>
      <c r="F3">
        <v>86.198244799999955</v>
      </c>
      <c r="G3">
        <v>86.198244799999955</v>
      </c>
      <c r="H3">
        <v>87</v>
      </c>
      <c r="I3">
        <v>87.195635999999979</v>
      </c>
      <c r="J3">
        <v>87.110026000000005</v>
      </c>
      <c r="K3">
        <v>87.110026000000005</v>
      </c>
      <c r="L3">
        <v>87.54589399999999</v>
      </c>
      <c r="M3">
        <v>86.928069999999991</v>
      </c>
      <c r="N3">
        <v>86.928069999999991</v>
      </c>
      <c r="O3">
        <v>87.753816099999995</v>
      </c>
      <c r="P3">
        <v>86.960044800000006</v>
      </c>
      <c r="Q3">
        <v>87.87829200000003</v>
      </c>
      <c r="R3">
        <v>88.06064200000003</v>
      </c>
      <c r="S3">
        <v>88.060642000000016</v>
      </c>
      <c r="T3">
        <v>87.87829200000003</v>
      </c>
      <c r="U3">
        <v>87.87829200000003</v>
      </c>
      <c r="V3" s="122">
        <v>87.878292000000016</v>
      </c>
    </row>
    <row r="4" spans="2:22" ht="15.75" thickBot="1" x14ac:dyDescent="0.3">
      <c r="B4" s="160" t="s">
        <v>64</v>
      </c>
      <c r="C4">
        <v>1853.5020000000004</v>
      </c>
      <c r="D4">
        <v>1633.5739999999987</v>
      </c>
      <c r="E4">
        <v>1493.8060000000005</v>
      </c>
      <c r="F4" s="143">
        <v>1897</v>
      </c>
      <c r="G4">
        <v>1380.2560999999987</v>
      </c>
      <c r="H4">
        <v>1963</v>
      </c>
      <c r="I4">
        <v>1290.372000000003</v>
      </c>
      <c r="J4">
        <v>1172.3910000000033</v>
      </c>
      <c r="K4">
        <v>1268.3950999999997</v>
      </c>
      <c r="L4">
        <v>1168.6990999999998</v>
      </c>
      <c r="M4">
        <v>1029.7079999999987</v>
      </c>
      <c r="N4">
        <v>1028.8851000000013</v>
      </c>
      <c r="O4">
        <v>1017.2301000000007</v>
      </c>
      <c r="P4">
        <v>1501.4901000000009</v>
      </c>
      <c r="Q4">
        <v>1343.6620999999996</v>
      </c>
      <c r="R4">
        <v>1462.5731000000014</v>
      </c>
      <c r="S4">
        <v>1414.824099999998</v>
      </c>
      <c r="T4">
        <v>1493.6900999999998</v>
      </c>
      <c r="U4">
        <v>1845.1135999999988</v>
      </c>
      <c r="V4" s="122">
        <v>1750.8636000000006</v>
      </c>
    </row>
    <row r="5" spans="2:22" ht="15.75" thickBot="1" x14ac:dyDescent="0.3">
      <c r="B5" s="160" t="s">
        <v>65</v>
      </c>
      <c r="C5">
        <v>5694.5283999999992</v>
      </c>
      <c r="D5">
        <v>5493.4439999999977</v>
      </c>
      <c r="E5">
        <v>5010.1534999999985</v>
      </c>
      <c r="F5">
        <v>5403.9971999999998</v>
      </c>
      <c r="G5">
        <v>5277.0668000000005</v>
      </c>
      <c r="H5" s="379">
        <v>5517</v>
      </c>
      <c r="I5">
        <v>5305.4051000000018</v>
      </c>
      <c r="J5">
        <v>5748.6801999999989</v>
      </c>
      <c r="K5">
        <v>5647.1309000000037</v>
      </c>
      <c r="L5">
        <v>5314.8812999999991</v>
      </c>
      <c r="M5">
        <v>5266.2792000000009</v>
      </c>
      <c r="N5">
        <v>5125.7390000000014</v>
      </c>
      <c r="O5">
        <v>5647.7109</v>
      </c>
      <c r="P5">
        <v>5901.5324999999975</v>
      </c>
      <c r="Q5">
        <v>5782.8629999999976</v>
      </c>
      <c r="R5">
        <v>5688.9015999999974</v>
      </c>
      <c r="S5">
        <v>5652.4049999999988</v>
      </c>
      <c r="T5">
        <v>5876.4450999999972</v>
      </c>
      <c r="U5">
        <v>6473.1258999999973</v>
      </c>
      <c r="V5" s="122">
        <v>6361.4264999999978</v>
      </c>
    </row>
    <row r="6" spans="2:22" ht="15.75" thickBot="1" x14ac:dyDescent="0.3">
      <c r="B6" s="160" t="s">
        <v>66</v>
      </c>
      <c r="C6">
        <v>1649</v>
      </c>
      <c r="D6">
        <v>1649</v>
      </c>
      <c r="E6">
        <v>1649</v>
      </c>
      <c r="F6">
        <v>1649</v>
      </c>
      <c r="G6">
        <v>1649</v>
      </c>
      <c r="I6">
        <v>1649</v>
      </c>
      <c r="J6">
        <v>1649</v>
      </c>
      <c r="K6">
        <v>1649</v>
      </c>
      <c r="L6">
        <v>1649</v>
      </c>
      <c r="M6">
        <v>1649</v>
      </c>
      <c r="N6">
        <v>1649</v>
      </c>
      <c r="O6">
        <v>1649</v>
      </c>
      <c r="P6">
        <v>1649</v>
      </c>
      <c r="Q6">
        <v>1649</v>
      </c>
      <c r="R6">
        <v>1649</v>
      </c>
      <c r="S6">
        <v>1649</v>
      </c>
      <c r="T6">
        <v>1649</v>
      </c>
      <c r="U6">
        <v>1649</v>
      </c>
      <c r="V6" s="122">
        <v>1649</v>
      </c>
    </row>
    <row r="7" spans="2:22" ht="30.75" thickBot="1" x14ac:dyDescent="0.3">
      <c r="B7" s="160" t="s">
        <v>67</v>
      </c>
      <c r="C7">
        <v>653.61599999999999</v>
      </c>
      <c r="D7">
        <v>765.38400000000001</v>
      </c>
      <c r="E7">
        <v>845.60399999999981</v>
      </c>
      <c r="F7">
        <v>1175.056</v>
      </c>
      <c r="G7">
        <v>1143.0549999999998</v>
      </c>
      <c r="I7">
        <v>1050.105</v>
      </c>
      <c r="J7">
        <v>1140.0070000000001</v>
      </c>
      <c r="K7">
        <v>1181.5810000000001</v>
      </c>
      <c r="L7">
        <v>1098.92</v>
      </c>
      <c r="M7">
        <v>980.28200000000015</v>
      </c>
      <c r="N7">
        <v>928.56800000000021</v>
      </c>
      <c r="O7">
        <v>1056.5010000000002</v>
      </c>
      <c r="P7">
        <v>1311.373</v>
      </c>
      <c r="Q7">
        <v>1239.3789999999999</v>
      </c>
      <c r="R7">
        <v>1310.6370000000002</v>
      </c>
      <c r="S7">
        <v>1325.9070000000002</v>
      </c>
      <c r="T7">
        <v>1276.5590000000002</v>
      </c>
      <c r="U7">
        <v>1507.92</v>
      </c>
      <c r="V7" s="122">
        <v>1473.7710000000002</v>
      </c>
    </row>
    <row r="8" spans="2:22" ht="15.75" thickBot="1" x14ac:dyDescent="0.3">
      <c r="B8" s="160" t="s">
        <v>73</v>
      </c>
      <c r="C8" t="s">
        <v>232</v>
      </c>
      <c r="D8" t="s">
        <v>232</v>
      </c>
      <c r="E8" t="s">
        <v>232</v>
      </c>
      <c r="F8" t="s">
        <v>232</v>
      </c>
      <c r="G8" t="s">
        <v>232</v>
      </c>
      <c r="H8">
        <v>0</v>
      </c>
      <c r="I8" t="s">
        <v>232</v>
      </c>
      <c r="J8" t="s">
        <v>232</v>
      </c>
      <c r="K8" t="s">
        <v>232</v>
      </c>
      <c r="L8" t="s">
        <v>232</v>
      </c>
      <c r="M8" t="s">
        <v>232</v>
      </c>
      <c r="N8" t="s">
        <v>232</v>
      </c>
      <c r="O8" t="s">
        <v>232</v>
      </c>
      <c r="P8" t="s">
        <v>232</v>
      </c>
      <c r="Q8" t="s">
        <v>232</v>
      </c>
      <c r="R8" t="s">
        <v>232</v>
      </c>
      <c r="S8" t="s">
        <v>232</v>
      </c>
      <c r="T8" t="s">
        <v>232</v>
      </c>
      <c r="U8" t="s">
        <v>232</v>
      </c>
      <c r="V8" t="s">
        <v>232</v>
      </c>
    </row>
    <row r="10" spans="2:22" x14ac:dyDescent="0.25">
      <c r="F10">
        <v>3454.6194036000006</v>
      </c>
      <c r="L10" s="87" t="s">
        <v>63</v>
      </c>
      <c r="M10" s="314">
        <f>[1]Summary!$C$7</f>
        <v>4837.7183473000014</v>
      </c>
      <c r="O10">
        <v>3455.1154552000007</v>
      </c>
    </row>
    <row r="11" spans="2:22" ht="30" x14ac:dyDescent="0.25">
      <c r="F11">
        <v>86.694296399999971</v>
      </c>
      <c r="L11" s="87" t="s">
        <v>68</v>
      </c>
      <c r="M11" s="10">
        <f>[1]Summary!$C$12</f>
        <v>36.439366699999859</v>
      </c>
      <c r="O11">
        <v>86.198244799999955</v>
      </c>
    </row>
    <row r="12" spans="2:22" x14ac:dyDescent="0.25">
      <c r="F12" t="s">
        <v>232</v>
      </c>
      <c r="L12" s="113" t="s">
        <v>64</v>
      </c>
      <c r="M12" s="314">
        <f>S12-R12</f>
        <v>8353.5</v>
      </c>
      <c r="N12">
        <v>10250</v>
      </c>
      <c r="O12" s="318">
        <f>N12-M12</f>
        <v>1896.5</v>
      </c>
      <c r="P12">
        <v>4625</v>
      </c>
      <c r="Q12">
        <v>18.5</v>
      </c>
      <c r="R12">
        <f>P12-Q12</f>
        <v>4606.5</v>
      </c>
      <c r="S12">
        <v>12960</v>
      </c>
    </row>
    <row r="13" spans="2:22" x14ac:dyDescent="0.25">
      <c r="F13">
        <v>5403.9971999999998</v>
      </c>
      <c r="L13" s="113" t="s">
        <v>65</v>
      </c>
      <c r="M13" s="314">
        <f>[1]Summary!$C$8</f>
        <v>8773.6718999999994</v>
      </c>
      <c r="O13">
        <v>5403.9971999999998</v>
      </c>
    </row>
    <row r="14" spans="2:22" ht="30" x14ac:dyDescent="0.25">
      <c r="F14">
        <v>1649</v>
      </c>
      <c r="L14" s="113" t="s">
        <v>66</v>
      </c>
      <c r="M14" s="10">
        <v>0</v>
      </c>
    </row>
    <row r="15" spans="2:22" ht="30" x14ac:dyDescent="0.25">
      <c r="F15">
        <v>1175.056</v>
      </c>
      <c r="L15" s="113" t="s">
        <v>67</v>
      </c>
      <c r="M15" s="10">
        <f>[1]Summary!$C$11</f>
        <v>3114.8409999999999</v>
      </c>
      <c r="O15">
        <v>1175.056</v>
      </c>
    </row>
    <row r="16" spans="2:22" x14ac:dyDescent="0.25">
      <c r="F16" t="s">
        <v>232</v>
      </c>
      <c r="L16" s="114" t="s">
        <v>73</v>
      </c>
      <c r="M16" s="314">
        <f>[1]Summary!$C$6</f>
        <v>7676.0394999999999</v>
      </c>
      <c r="O16">
        <v>0</v>
      </c>
    </row>
    <row r="17" spans="12:13" x14ac:dyDescent="0.25">
      <c r="L17" s="85" t="s">
        <v>123</v>
      </c>
      <c r="M17" s="10">
        <f>N79</f>
        <v>0</v>
      </c>
    </row>
    <row r="18" spans="12:13" x14ac:dyDescent="0.25">
      <c r="L18" s="85" t="s">
        <v>82</v>
      </c>
      <c r="M18" s="10">
        <f>N80</f>
        <v>0</v>
      </c>
    </row>
  </sheetData>
  <pageMargins left="0.7" right="0.7" top="0.75" bottom="0.75" header="0.3" footer="0.3"/>
  <pageSetup orientation="portrait" horizontalDpi="4294967292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G228"/>
  <sheetViews>
    <sheetView topLeftCell="A61" zoomScale="53" workbookViewId="0">
      <selection activeCell="A105" sqref="A105"/>
    </sheetView>
  </sheetViews>
  <sheetFormatPr defaultRowHeight="15" x14ac:dyDescent="0.25"/>
  <cols>
    <col min="1" max="1" width="10.7109375" bestFit="1" customWidth="1"/>
    <col min="6" max="6" width="20.5703125" bestFit="1" customWidth="1"/>
    <col min="7" max="7" width="16.5703125" bestFit="1" customWidth="1"/>
  </cols>
  <sheetData>
    <row r="1" spans="1:7" x14ac:dyDescent="0.25">
      <c r="A1" s="5" t="s">
        <v>44</v>
      </c>
      <c r="B1" s="6" t="s">
        <v>50</v>
      </c>
    </row>
    <row r="2" spans="1:7" x14ac:dyDescent="0.25">
      <c r="A2" s="5" t="s">
        <v>95</v>
      </c>
      <c r="B2" s="7">
        <f>8546+(-893+1000)+(-7+500)</f>
        <v>9146</v>
      </c>
    </row>
    <row r="3" spans="1:7" x14ac:dyDescent="0.25">
      <c r="A3" s="5" t="s">
        <v>96</v>
      </c>
      <c r="B3" s="7">
        <f>8623+(-921+1000)+(-32+500)</f>
        <v>9170</v>
      </c>
    </row>
    <row r="4" spans="1:7" x14ac:dyDescent="0.25">
      <c r="A4" s="11">
        <v>43111</v>
      </c>
      <c r="B4" s="7">
        <f>8517+(-847+1000)+(-32+500)</f>
        <v>9138</v>
      </c>
    </row>
    <row r="5" spans="1:7" x14ac:dyDescent="0.25">
      <c r="A5" s="11">
        <v>43231</v>
      </c>
      <c r="B5" s="7">
        <f>8454+(-873+1000)+(-32+500)</f>
        <v>9049</v>
      </c>
      <c r="F5" s="194" t="s">
        <v>70</v>
      </c>
      <c r="G5" t="s">
        <v>233</v>
      </c>
    </row>
    <row r="6" spans="1:7" x14ac:dyDescent="0.25">
      <c r="A6" s="11">
        <v>43262</v>
      </c>
      <c r="B6" s="7">
        <f>8454+(-873+1000)+(-32+500)</f>
        <v>9049</v>
      </c>
      <c r="F6" s="17" t="s">
        <v>97</v>
      </c>
      <c r="G6">
        <v>8974</v>
      </c>
    </row>
    <row r="7" spans="1:7" x14ac:dyDescent="0.25">
      <c r="A7" s="11">
        <v>43292</v>
      </c>
      <c r="B7" s="7">
        <f>8488+(-923+1000)+(-39+500)</f>
        <v>9026</v>
      </c>
      <c r="F7" s="17" t="s">
        <v>98</v>
      </c>
      <c r="G7">
        <v>9119</v>
      </c>
    </row>
    <row r="8" spans="1:7" x14ac:dyDescent="0.25">
      <c r="A8" s="11">
        <v>43323</v>
      </c>
      <c r="B8" s="7">
        <f>8569+(-954+1000)+(-39+500)</f>
        <v>9076</v>
      </c>
      <c r="F8" s="17" t="s">
        <v>99</v>
      </c>
      <c r="G8">
        <v>9291</v>
      </c>
    </row>
    <row r="9" spans="1:7" x14ac:dyDescent="0.25">
      <c r="A9" s="11">
        <v>43354</v>
      </c>
      <c r="B9" s="7">
        <f>8569+(-964+1000)+(-39+500)</f>
        <v>9066</v>
      </c>
      <c r="F9" s="17" t="s">
        <v>100</v>
      </c>
      <c r="G9">
        <v>9228</v>
      </c>
    </row>
    <row r="10" spans="1:7" x14ac:dyDescent="0.25">
      <c r="A10" s="11">
        <v>43445</v>
      </c>
      <c r="B10" s="7">
        <f>8202+(-754+1000)+(-39+500)</f>
        <v>8909</v>
      </c>
      <c r="F10" s="17" t="s">
        <v>101</v>
      </c>
      <c r="G10">
        <v>9031</v>
      </c>
    </row>
    <row r="11" spans="1:7" x14ac:dyDescent="0.25">
      <c r="A11" s="11" t="s">
        <v>97</v>
      </c>
      <c r="B11" s="7">
        <f>8202+(-689+1000)+(-39+500)</f>
        <v>8974</v>
      </c>
      <c r="F11" s="17" t="s">
        <v>102</v>
      </c>
      <c r="G11">
        <v>9341</v>
      </c>
    </row>
    <row r="12" spans="1:7" x14ac:dyDescent="0.25">
      <c r="A12" s="11" t="s">
        <v>98</v>
      </c>
      <c r="B12" s="7">
        <f>8127+(-469+1000)+(-39+500)</f>
        <v>9119</v>
      </c>
      <c r="F12" s="17" t="s">
        <v>95</v>
      </c>
      <c r="G12">
        <v>9146</v>
      </c>
    </row>
    <row r="13" spans="1:7" x14ac:dyDescent="0.25">
      <c r="A13" s="11" t="s">
        <v>99</v>
      </c>
      <c r="B13" s="7">
        <f>8165+(-335+1000)+(-39+500)</f>
        <v>9291</v>
      </c>
      <c r="F13" s="17" t="s">
        <v>96</v>
      </c>
      <c r="G13">
        <v>9170</v>
      </c>
    </row>
    <row r="14" spans="1:7" x14ac:dyDescent="0.25">
      <c r="A14" s="11" t="s">
        <v>100</v>
      </c>
      <c r="B14" s="7">
        <f>8158+(-391+1000)+(-39+500)</f>
        <v>9228</v>
      </c>
      <c r="F14" s="196">
        <v>43102</v>
      </c>
      <c r="G14">
        <v>11689</v>
      </c>
    </row>
    <row r="15" spans="1:7" x14ac:dyDescent="0.25">
      <c r="A15" s="11" t="s">
        <v>101</v>
      </c>
      <c r="B15" s="7">
        <f>8027+(-457+1000)+(-39+500)</f>
        <v>9031</v>
      </c>
      <c r="F15" s="196">
        <v>43104</v>
      </c>
      <c r="G15">
        <v>11470</v>
      </c>
    </row>
    <row r="16" spans="1:7" x14ac:dyDescent="0.25">
      <c r="A16" s="11" t="s">
        <v>102</v>
      </c>
      <c r="B16" s="7">
        <f>8337+(-457+1000)+(-39+500)</f>
        <v>9341</v>
      </c>
      <c r="F16" s="196">
        <v>43111</v>
      </c>
      <c r="G16">
        <v>9138</v>
      </c>
    </row>
    <row r="17" spans="1:7" x14ac:dyDescent="0.25">
      <c r="A17" s="11">
        <v>43431</v>
      </c>
      <c r="B17" s="7">
        <f>8414+(-634+1000)+(-39+500)</f>
        <v>9241</v>
      </c>
      <c r="F17" s="196">
        <v>43231</v>
      </c>
      <c r="G17">
        <v>9049</v>
      </c>
    </row>
    <row r="18" spans="1:7" x14ac:dyDescent="0.25">
      <c r="A18" s="11">
        <v>43432</v>
      </c>
      <c r="B18" s="7">
        <f>8920+(-659+1000)+(-39+500)</f>
        <v>9722</v>
      </c>
      <c r="F18" s="196">
        <v>43262</v>
      </c>
      <c r="G18">
        <v>9049</v>
      </c>
    </row>
    <row r="19" spans="1:7" x14ac:dyDescent="0.25">
      <c r="A19" s="11">
        <v>43433</v>
      </c>
      <c r="B19" s="7">
        <f>8920+(-637+1000)+(-39+500)</f>
        <v>9744</v>
      </c>
      <c r="F19" s="196">
        <v>43292</v>
      </c>
      <c r="G19">
        <v>9026</v>
      </c>
    </row>
    <row r="20" spans="1:7" x14ac:dyDescent="0.25">
      <c r="A20" s="11">
        <v>43434</v>
      </c>
      <c r="B20" s="7">
        <f>9076+(-706+1000)+(-39+500)</f>
        <v>9831</v>
      </c>
      <c r="F20" s="196">
        <v>43323</v>
      </c>
      <c r="G20">
        <v>9076</v>
      </c>
    </row>
    <row r="21" spans="1:7" x14ac:dyDescent="0.25">
      <c r="A21" s="11">
        <v>43435</v>
      </c>
      <c r="B21" s="7"/>
      <c r="F21" s="196">
        <v>43354</v>
      </c>
      <c r="G21">
        <v>9066</v>
      </c>
    </row>
    <row r="22" spans="1:7" x14ac:dyDescent="0.25">
      <c r="A22" s="11">
        <v>43436</v>
      </c>
      <c r="B22" s="7"/>
      <c r="F22" s="196">
        <v>43431</v>
      </c>
      <c r="G22">
        <v>9241</v>
      </c>
    </row>
    <row r="23" spans="1:7" x14ac:dyDescent="0.25">
      <c r="A23" s="11">
        <v>43437</v>
      </c>
      <c r="B23" s="7">
        <f>9076+(-563+1000)+(-39+500)</f>
        <v>9974</v>
      </c>
      <c r="F23" s="196">
        <v>43432</v>
      </c>
      <c r="G23">
        <v>9722</v>
      </c>
    </row>
    <row r="24" spans="1:7" x14ac:dyDescent="0.25">
      <c r="A24" s="11">
        <v>43438</v>
      </c>
      <c r="B24" s="7">
        <f>9046+(-589+1000)+(-39+500)</f>
        <v>9918</v>
      </c>
      <c r="F24" s="196">
        <v>43433</v>
      </c>
      <c r="G24">
        <v>9744</v>
      </c>
    </row>
    <row r="25" spans="1:7" x14ac:dyDescent="0.25">
      <c r="A25" s="11">
        <v>43439</v>
      </c>
      <c r="B25" s="7">
        <f>8981+(-638+1000)+(-39+500)</f>
        <v>9804</v>
      </c>
      <c r="F25" s="196">
        <v>43434</v>
      </c>
      <c r="G25">
        <v>9831</v>
      </c>
    </row>
    <row r="26" spans="1:7" x14ac:dyDescent="0.25">
      <c r="A26" s="11">
        <v>43440</v>
      </c>
      <c r="B26" s="7">
        <f>9298+(-662+1000)+(-39+500)</f>
        <v>10097</v>
      </c>
      <c r="F26" s="196">
        <v>43435</v>
      </c>
    </row>
    <row r="27" spans="1:7" x14ac:dyDescent="0.25">
      <c r="A27" s="11">
        <v>43443</v>
      </c>
      <c r="B27" s="7">
        <f>9020+(-535+1000)+(-39+500)</f>
        <v>9946</v>
      </c>
      <c r="F27" s="196">
        <v>43436</v>
      </c>
    </row>
    <row r="28" spans="1:7" x14ac:dyDescent="0.25">
      <c r="A28" s="11">
        <v>43444</v>
      </c>
      <c r="B28" s="7"/>
      <c r="F28" s="196">
        <v>43437</v>
      </c>
      <c r="G28">
        <v>9974</v>
      </c>
    </row>
    <row r="29" spans="1:7" x14ac:dyDescent="0.25">
      <c r="A29" s="11">
        <v>43445</v>
      </c>
      <c r="B29" s="7"/>
      <c r="F29" s="196">
        <v>43438</v>
      </c>
      <c r="G29">
        <v>9918</v>
      </c>
    </row>
    <row r="30" spans="1:7" x14ac:dyDescent="0.25">
      <c r="A30" s="11">
        <v>43447</v>
      </c>
      <c r="B30" s="7">
        <f>9384+(-715+1000)+(-39+500)</f>
        <v>10130</v>
      </c>
      <c r="F30" s="196">
        <v>43439</v>
      </c>
      <c r="G30">
        <v>9804</v>
      </c>
    </row>
    <row r="31" spans="1:7" x14ac:dyDescent="0.25">
      <c r="A31" s="11">
        <v>43451</v>
      </c>
      <c r="B31" s="7">
        <f>9676+(-560+1000)+(-39+500)</f>
        <v>10577</v>
      </c>
      <c r="F31" s="196">
        <v>43440</v>
      </c>
      <c r="G31">
        <v>10097</v>
      </c>
    </row>
    <row r="32" spans="1:7" x14ac:dyDescent="0.25">
      <c r="A32" s="11">
        <v>43453</v>
      </c>
      <c r="B32" s="7">
        <f>9812+(-646+1000)+(-39+500)</f>
        <v>10627</v>
      </c>
      <c r="F32" s="196">
        <v>43443</v>
      </c>
      <c r="G32">
        <v>9946</v>
      </c>
    </row>
    <row r="33" spans="1:7" x14ac:dyDescent="0.25">
      <c r="A33" s="11">
        <v>43454</v>
      </c>
      <c r="B33" s="7">
        <f>9922+(-667+1000)+(-39+500)</f>
        <v>10716</v>
      </c>
      <c r="F33" s="196">
        <v>43444</v>
      </c>
    </row>
    <row r="34" spans="1:7" x14ac:dyDescent="0.25">
      <c r="A34" s="11">
        <v>43461</v>
      </c>
      <c r="B34" s="7">
        <f>10521+(-682+1000)+(-39+500)</f>
        <v>11300</v>
      </c>
      <c r="F34" s="196">
        <v>43445</v>
      </c>
      <c r="G34">
        <v>8909</v>
      </c>
    </row>
    <row r="35" spans="1:7" x14ac:dyDescent="0.25">
      <c r="A35" s="11">
        <v>43462</v>
      </c>
      <c r="B35" s="7">
        <f>10484+(-764+1000)+(-39+500)</f>
        <v>11181</v>
      </c>
      <c r="F35" s="196">
        <v>43447</v>
      </c>
      <c r="G35">
        <v>10130</v>
      </c>
    </row>
    <row r="36" spans="1:7" x14ac:dyDescent="0.25">
      <c r="A36" s="11">
        <v>43102</v>
      </c>
      <c r="B36" s="7">
        <f>10431+(-203+1000)+(-39+500)</f>
        <v>11689</v>
      </c>
      <c r="F36" s="196">
        <v>43451</v>
      </c>
      <c r="G36">
        <v>10577</v>
      </c>
    </row>
    <row r="37" spans="1:7" x14ac:dyDescent="0.25">
      <c r="A37" s="11">
        <v>43104</v>
      </c>
      <c r="B37" s="7">
        <f>10358+(-252+1000)+(-39-97+500)</f>
        <v>11470</v>
      </c>
      <c r="F37" s="196">
        <v>43453</v>
      </c>
      <c r="G37">
        <v>10627</v>
      </c>
    </row>
    <row r="38" spans="1:7" x14ac:dyDescent="0.25">
      <c r="A38" s="11">
        <v>43472</v>
      </c>
      <c r="B38" s="7">
        <f>10411+(-326+1000)+(-39-102+500)</f>
        <v>11444</v>
      </c>
      <c r="F38" s="196">
        <v>43454</v>
      </c>
      <c r="G38">
        <v>10716</v>
      </c>
    </row>
    <row r="39" spans="1:7" x14ac:dyDescent="0.25">
      <c r="A39" s="11">
        <v>43473</v>
      </c>
      <c r="B39" s="7">
        <f>10411+(-379+1000)+(-39-102+500)</f>
        <v>11391</v>
      </c>
      <c r="F39" s="196">
        <v>43461</v>
      </c>
      <c r="G39">
        <v>11300</v>
      </c>
    </row>
    <row r="40" spans="1:7" x14ac:dyDescent="0.25">
      <c r="A40" s="11">
        <v>43474</v>
      </c>
      <c r="B40" s="7">
        <f>10190+(-406+1000)+(-39-102+500)</f>
        <v>11143</v>
      </c>
      <c r="F40" s="196">
        <v>43462</v>
      </c>
      <c r="G40">
        <v>11181</v>
      </c>
    </row>
    <row r="41" spans="1:7" x14ac:dyDescent="0.25">
      <c r="A41" s="11">
        <v>43475</v>
      </c>
      <c r="B41" s="7">
        <f>10352+(-457+1000)+(-39-102+500)</f>
        <v>11254</v>
      </c>
      <c r="F41" s="196">
        <v>43472</v>
      </c>
      <c r="G41">
        <v>11444</v>
      </c>
    </row>
    <row r="42" spans="1:7" x14ac:dyDescent="0.25">
      <c r="A42" s="11">
        <v>43476</v>
      </c>
      <c r="B42" s="7">
        <f>10413+(-605+1000)+(-39-102+500)</f>
        <v>11167</v>
      </c>
      <c r="F42" s="196">
        <v>43473</v>
      </c>
      <c r="G42">
        <v>11391</v>
      </c>
    </row>
    <row r="43" spans="1:7" x14ac:dyDescent="0.25">
      <c r="A43" s="11">
        <v>43479</v>
      </c>
      <c r="B43" s="7">
        <f>10789+(-670+1000)+(-39-102+500)</f>
        <v>11478</v>
      </c>
      <c r="F43" s="196">
        <v>43474</v>
      </c>
      <c r="G43">
        <v>11143</v>
      </c>
    </row>
    <row r="44" spans="1:7" x14ac:dyDescent="0.25">
      <c r="A44" s="11">
        <v>43481</v>
      </c>
      <c r="B44" s="7">
        <f>10993+(-670+1000)+(-39-102+500)</f>
        <v>11682</v>
      </c>
      <c r="F44" s="196">
        <v>43475</v>
      </c>
      <c r="G44">
        <v>11254</v>
      </c>
    </row>
    <row r="45" spans="1:7" x14ac:dyDescent="0.25">
      <c r="A45" s="11">
        <v>43483</v>
      </c>
      <c r="B45" s="7">
        <f>11051+(-523+1000)+(-39-114+500)</f>
        <v>11875</v>
      </c>
      <c r="F45" s="196">
        <v>43476</v>
      </c>
      <c r="G45">
        <v>11167</v>
      </c>
    </row>
    <row r="46" spans="1:7" x14ac:dyDescent="0.25">
      <c r="A46" s="11">
        <v>43486</v>
      </c>
      <c r="B46" s="7">
        <f>10701+(-445+1000)+(-39-114+500)</f>
        <v>11603</v>
      </c>
      <c r="F46" s="196">
        <v>43479</v>
      </c>
      <c r="G46">
        <v>11478</v>
      </c>
    </row>
    <row r="47" spans="1:7" x14ac:dyDescent="0.25">
      <c r="A47" s="11">
        <v>43487</v>
      </c>
      <c r="B47" s="7">
        <f>10700+(-472+1000)+(-39-117+500)</f>
        <v>11572</v>
      </c>
      <c r="F47" s="196">
        <v>43481</v>
      </c>
      <c r="G47">
        <v>11682</v>
      </c>
    </row>
    <row r="48" spans="1:7" x14ac:dyDescent="0.25">
      <c r="A48" s="11">
        <v>43489</v>
      </c>
      <c r="B48" s="7">
        <f>10351+(-631+1000)+(-39-125+500)</f>
        <v>11056</v>
      </c>
      <c r="F48" s="196">
        <v>43483</v>
      </c>
      <c r="G48">
        <v>11875</v>
      </c>
    </row>
    <row r="49" spans="1:7" x14ac:dyDescent="0.25">
      <c r="A49" s="11">
        <v>43490</v>
      </c>
      <c r="B49" s="7">
        <f>10371+(-631+1000)+(-7-126+500)</f>
        <v>11107</v>
      </c>
      <c r="F49" s="196">
        <v>43486</v>
      </c>
      <c r="G49">
        <v>11603</v>
      </c>
    </row>
    <row r="50" spans="1:7" x14ac:dyDescent="0.25">
      <c r="A50" s="11">
        <v>43494</v>
      </c>
      <c r="B50" s="7">
        <f>10368+(-465+1000)+(-7-101+500)</f>
        <v>11295</v>
      </c>
      <c r="F50" s="196">
        <v>43487</v>
      </c>
      <c r="G50">
        <v>11572</v>
      </c>
    </row>
    <row r="51" spans="1:7" x14ac:dyDescent="0.25">
      <c r="A51" s="11">
        <v>43495</v>
      </c>
      <c r="B51" s="7">
        <f>10082+(-155+1000)+(-7-114+500)</f>
        <v>11306</v>
      </c>
      <c r="F51" s="196">
        <v>43489</v>
      </c>
      <c r="G51">
        <v>11056</v>
      </c>
    </row>
    <row r="52" spans="1:7" x14ac:dyDescent="0.25">
      <c r="A52" s="11">
        <v>43496</v>
      </c>
      <c r="B52" s="7">
        <f>10240+(-40+1000)+(-7-114+500)</f>
        <v>11579</v>
      </c>
      <c r="F52" s="196">
        <v>43490</v>
      </c>
      <c r="G52">
        <v>11107</v>
      </c>
    </row>
    <row r="53" spans="1:7" x14ac:dyDescent="0.25">
      <c r="A53" s="11">
        <v>43497</v>
      </c>
      <c r="B53" s="7">
        <f>10308+(-11+1000)+(-7-101+500)</f>
        <v>11689</v>
      </c>
      <c r="F53" s="196">
        <v>43494</v>
      </c>
      <c r="G53">
        <v>11295</v>
      </c>
    </row>
    <row r="54" spans="1:7" x14ac:dyDescent="0.25">
      <c r="A54" s="11">
        <v>43501</v>
      </c>
      <c r="B54" s="7">
        <f>10055+(-11+1000)+(-7-140+500)</f>
        <v>11397</v>
      </c>
      <c r="F54" s="196">
        <v>43495</v>
      </c>
      <c r="G54">
        <v>11306</v>
      </c>
    </row>
    <row r="55" spans="1:7" x14ac:dyDescent="0.25">
      <c r="A55" s="11">
        <v>43502</v>
      </c>
      <c r="B55" s="7">
        <f>10055+(-11+1000)+(-7-141+500)</f>
        <v>11396</v>
      </c>
      <c r="F55" s="196">
        <v>43496</v>
      </c>
      <c r="G55">
        <v>11579</v>
      </c>
    </row>
    <row r="56" spans="1:7" x14ac:dyDescent="0.25">
      <c r="A56" s="11">
        <v>43503</v>
      </c>
      <c r="B56" s="7">
        <f>9923+(-11+1000)+(-7-137+500)</f>
        <v>11268</v>
      </c>
      <c r="F56" s="196">
        <v>43497</v>
      </c>
      <c r="G56">
        <v>11689</v>
      </c>
    </row>
    <row r="57" spans="1:7" x14ac:dyDescent="0.25">
      <c r="A57" s="11">
        <v>43504</v>
      </c>
      <c r="B57" s="7">
        <f>9720+(-11+1000)+(-7-137+500)</f>
        <v>11065</v>
      </c>
      <c r="F57" s="196">
        <v>43501</v>
      </c>
      <c r="G57">
        <v>11397</v>
      </c>
    </row>
    <row r="58" spans="1:7" x14ac:dyDescent="0.25">
      <c r="A58" s="11">
        <v>43506</v>
      </c>
      <c r="B58" s="7">
        <f>9983+(-11+1000)+(-7-137+500)</f>
        <v>11328</v>
      </c>
      <c r="F58" s="196">
        <v>43502</v>
      </c>
      <c r="G58">
        <v>11396</v>
      </c>
    </row>
    <row r="59" spans="1:7" x14ac:dyDescent="0.25">
      <c r="A59" s="11">
        <v>43509</v>
      </c>
      <c r="B59" s="7">
        <f>9955+(-11+1000)+(-7-135+500)</f>
        <v>11302</v>
      </c>
      <c r="F59" s="196">
        <v>43503</v>
      </c>
      <c r="G59">
        <v>11268</v>
      </c>
    </row>
    <row r="60" spans="1:7" x14ac:dyDescent="0.25">
      <c r="A60" s="11">
        <v>43510</v>
      </c>
      <c r="B60" s="7">
        <f>10210+(-11+1000)+(-7-135+500)</f>
        <v>11557</v>
      </c>
      <c r="F60" s="196">
        <v>43504</v>
      </c>
      <c r="G60">
        <v>11065</v>
      </c>
    </row>
    <row r="61" spans="1:7" x14ac:dyDescent="0.25">
      <c r="A61" s="11">
        <v>43511</v>
      </c>
      <c r="B61" s="7">
        <f>10251+(-11+1000)+(-7-138+500)</f>
        <v>11595</v>
      </c>
      <c r="F61" s="196">
        <v>43506</v>
      </c>
      <c r="G61">
        <v>11328</v>
      </c>
    </row>
    <row r="62" spans="1:7" x14ac:dyDescent="0.25">
      <c r="A62" s="11">
        <v>43514</v>
      </c>
      <c r="B62" s="7">
        <f>10576+(-11+1000)+(-7-141+500)</f>
        <v>11917</v>
      </c>
      <c r="F62" s="196">
        <v>43509</v>
      </c>
      <c r="G62">
        <v>11302</v>
      </c>
    </row>
    <row r="63" spans="1:7" x14ac:dyDescent="0.25">
      <c r="A63" s="11">
        <v>43516</v>
      </c>
      <c r="B63" s="7">
        <f>10325+(-11+1000)+(-7-142+500)</f>
        <v>11665</v>
      </c>
      <c r="F63" s="196">
        <v>43510</v>
      </c>
      <c r="G63">
        <v>11557</v>
      </c>
    </row>
    <row r="64" spans="1:7" x14ac:dyDescent="0.25">
      <c r="A64" s="11">
        <v>43517</v>
      </c>
      <c r="B64" s="7">
        <f>10314+(-11+1000)+(-7-142+500)</f>
        <v>11654</v>
      </c>
      <c r="F64" s="196">
        <v>43511</v>
      </c>
      <c r="G64">
        <v>11595</v>
      </c>
    </row>
    <row r="65" spans="1:7" x14ac:dyDescent="0.25">
      <c r="A65" s="11">
        <v>43518</v>
      </c>
      <c r="B65" s="7">
        <f>10022+(-11+1000)+(-7-144+500)</f>
        <v>11360</v>
      </c>
      <c r="F65" s="196">
        <v>43514</v>
      </c>
      <c r="G65">
        <v>11917</v>
      </c>
    </row>
    <row r="66" spans="1:7" x14ac:dyDescent="0.25">
      <c r="A66" s="11">
        <v>43521</v>
      </c>
      <c r="B66" s="7">
        <f>9883+(-11+1000)+(-7-144+500)</f>
        <v>11221</v>
      </c>
      <c r="F66" s="196">
        <v>43516</v>
      </c>
      <c r="G66">
        <v>11665</v>
      </c>
    </row>
    <row r="67" spans="1:7" x14ac:dyDescent="0.25">
      <c r="A67" s="11">
        <v>43522</v>
      </c>
      <c r="B67" s="7">
        <f>9883+(-11+1000)+(-7-144+500)</f>
        <v>11221</v>
      </c>
      <c r="F67" s="196">
        <v>43517</v>
      </c>
      <c r="G67">
        <v>11654</v>
      </c>
    </row>
    <row r="68" spans="1:7" x14ac:dyDescent="0.25">
      <c r="A68" s="11">
        <v>43523</v>
      </c>
      <c r="B68" s="7">
        <f>9937+(-11+1000)+(-7-148+500)</f>
        <v>11271</v>
      </c>
      <c r="F68" s="196">
        <v>43518</v>
      </c>
      <c r="G68">
        <v>11360</v>
      </c>
    </row>
    <row r="69" spans="1:7" x14ac:dyDescent="0.25">
      <c r="A69" s="11">
        <v>43524</v>
      </c>
      <c r="B69" s="7">
        <f>9749+(-7-152+500)</f>
        <v>10090</v>
      </c>
      <c r="F69" s="196">
        <v>43521</v>
      </c>
      <c r="G69">
        <v>11221</v>
      </c>
    </row>
    <row r="70" spans="1:7" x14ac:dyDescent="0.25">
      <c r="A70" s="11">
        <v>43525</v>
      </c>
      <c r="B70" s="7">
        <f>9644+(-7-152+500)</f>
        <v>9985</v>
      </c>
      <c r="F70" s="196">
        <v>43522</v>
      </c>
      <c r="G70">
        <v>11221</v>
      </c>
    </row>
    <row r="71" spans="1:7" x14ac:dyDescent="0.25">
      <c r="A71" s="11">
        <v>43528</v>
      </c>
      <c r="B71" s="7">
        <f>9496+(-7-154+500)</f>
        <v>9835</v>
      </c>
      <c r="F71" s="196">
        <v>43523</v>
      </c>
      <c r="G71">
        <v>11271</v>
      </c>
    </row>
    <row r="72" spans="1:7" x14ac:dyDescent="0.25">
      <c r="A72" s="11">
        <v>43529</v>
      </c>
      <c r="B72" s="7">
        <f>9496+(-7-154+500)</f>
        <v>9835</v>
      </c>
      <c r="F72" s="196">
        <v>43524</v>
      </c>
      <c r="G72">
        <v>10090</v>
      </c>
    </row>
    <row r="73" spans="1:7" x14ac:dyDescent="0.25">
      <c r="A73" s="11">
        <v>43530</v>
      </c>
      <c r="B73" s="7">
        <f>9504+(-7-145+500)</f>
        <v>9852</v>
      </c>
      <c r="F73" s="196">
        <v>43525</v>
      </c>
      <c r="G73">
        <v>9985</v>
      </c>
    </row>
    <row r="74" spans="1:7" x14ac:dyDescent="0.25">
      <c r="A74" s="11">
        <v>43531</v>
      </c>
      <c r="B74" s="7">
        <f>9445+(-7-145+500)</f>
        <v>9793</v>
      </c>
      <c r="F74" s="196">
        <v>43528</v>
      </c>
      <c r="G74">
        <v>9835</v>
      </c>
    </row>
    <row r="75" spans="1:7" x14ac:dyDescent="0.25">
      <c r="A75" s="11">
        <v>43532</v>
      </c>
      <c r="B75" s="7">
        <f>9572+(-7-145+500)</f>
        <v>9920</v>
      </c>
      <c r="F75" s="196">
        <v>43529</v>
      </c>
      <c r="G75">
        <v>9835</v>
      </c>
    </row>
    <row r="76" spans="1:7" x14ac:dyDescent="0.25">
      <c r="A76" s="11">
        <v>43535</v>
      </c>
      <c r="B76" s="7">
        <f>8955+(-7-127+500)</f>
        <v>9321</v>
      </c>
      <c r="F76" s="196">
        <v>43530</v>
      </c>
      <c r="G76">
        <v>9852</v>
      </c>
    </row>
    <row r="77" spans="1:7" x14ac:dyDescent="0.25">
      <c r="A77" s="11">
        <v>43536</v>
      </c>
      <c r="B77" s="7">
        <f>8955+(-7-117+500)</f>
        <v>9331</v>
      </c>
      <c r="F77" s="196">
        <v>43531</v>
      </c>
      <c r="G77">
        <v>9793</v>
      </c>
    </row>
    <row r="78" spans="1:7" x14ac:dyDescent="0.25">
      <c r="A78" s="11">
        <v>43537</v>
      </c>
      <c r="B78" s="7">
        <f>8855+(-7-117+500)</f>
        <v>9231</v>
      </c>
      <c r="F78" s="196">
        <v>43532</v>
      </c>
      <c r="G78">
        <v>9920</v>
      </c>
    </row>
    <row r="79" spans="1:7" x14ac:dyDescent="0.25">
      <c r="A79" s="11">
        <v>43538</v>
      </c>
      <c r="B79" s="7">
        <f>8591+(-7-118+500)</f>
        <v>8966</v>
      </c>
      <c r="F79" s="196">
        <v>43535</v>
      </c>
      <c r="G79">
        <v>9321</v>
      </c>
    </row>
    <row r="80" spans="1:7" x14ac:dyDescent="0.25">
      <c r="A80" s="11">
        <v>43539</v>
      </c>
      <c r="B80" s="7">
        <f>8620+(-7-118+500)</f>
        <v>8995</v>
      </c>
      <c r="F80" s="196">
        <v>43536</v>
      </c>
      <c r="G80">
        <v>9331</v>
      </c>
    </row>
    <row r="81" spans="1:7" x14ac:dyDescent="0.25">
      <c r="A81" s="11">
        <v>43542</v>
      </c>
      <c r="B81" s="7">
        <f>8474+(-7-118+500)</f>
        <v>8849</v>
      </c>
      <c r="F81" s="196">
        <v>43537</v>
      </c>
      <c r="G81">
        <v>9231</v>
      </c>
    </row>
    <row r="82" spans="1:7" x14ac:dyDescent="0.25">
      <c r="A82" s="11">
        <v>43545</v>
      </c>
      <c r="B82" s="7">
        <f>8492+(-7-119+500)</f>
        <v>8866</v>
      </c>
      <c r="F82" s="196">
        <v>43538</v>
      </c>
      <c r="G82">
        <v>8966</v>
      </c>
    </row>
    <row r="83" spans="1:7" x14ac:dyDescent="0.25">
      <c r="A83" s="11">
        <v>43546</v>
      </c>
      <c r="B83" s="7">
        <f>8413+(-7-96+500)</f>
        <v>8810</v>
      </c>
      <c r="F83" s="196">
        <v>43539</v>
      </c>
      <c r="G83">
        <v>8995</v>
      </c>
    </row>
    <row r="84" spans="1:7" x14ac:dyDescent="0.25">
      <c r="A84" s="11">
        <v>43549</v>
      </c>
      <c r="B84" s="7">
        <f>8500+(-7-94+500)</f>
        <v>8899</v>
      </c>
      <c r="F84" s="196">
        <v>43542</v>
      </c>
      <c r="G84">
        <v>8849</v>
      </c>
    </row>
    <row r="85" spans="1:7" x14ac:dyDescent="0.25">
      <c r="A85" s="11">
        <v>43550</v>
      </c>
      <c r="B85" s="7">
        <f>8500+(-7-94+500)</f>
        <v>8899</v>
      </c>
      <c r="F85" s="196">
        <v>43545</v>
      </c>
      <c r="G85">
        <v>8866</v>
      </c>
    </row>
    <row r="86" spans="1:7" x14ac:dyDescent="0.25">
      <c r="A86" s="11">
        <v>43551</v>
      </c>
      <c r="B86" s="7">
        <f>8337+(-7-94+500)</f>
        <v>8736</v>
      </c>
      <c r="F86" s="196">
        <v>43546</v>
      </c>
      <c r="G86">
        <v>8810</v>
      </c>
    </row>
    <row r="87" spans="1:7" x14ac:dyDescent="0.25">
      <c r="A87" s="11">
        <v>43552</v>
      </c>
      <c r="B87" s="7">
        <f>8556+(-7-94+500)</f>
        <v>8955</v>
      </c>
      <c r="F87" s="196">
        <v>43549</v>
      </c>
      <c r="G87">
        <v>8899</v>
      </c>
    </row>
    <row r="88" spans="1:7" x14ac:dyDescent="0.25">
      <c r="A88" s="11">
        <v>43558</v>
      </c>
      <c r="B88" s="7">
        <f>7096+(-7-94+500)</f>
        <v>7495</v>
      </c>
      <c r="F88" s="196">
        <v>43550</v>
      </c>
      <c r="G88">
        <v>8899</v>
      </c>
    </row>
    <row r="89" spans="1:7" x14ac:dyDescent="0.25">
      <c r="A89" s="11">
        <v>43560</v>
      </c>
      <c r="B89" s="7">
        <f>7301+(-7-94+500)</f>
        <v>7700</v>
      </c>
      <c r="F89" s="196">
        <v>43551</v>
      </c>
      <c r="G89">
        <v>8736</v>
      </c>
    </row>
    <row r="90" spans="1:7" x14ac:dyDescent="0.25">
      <c r="A90" s="11">
        <v>43564</v>
      </c>
      <c r="B90" s="7">
        <f>7643+(-7-48+500)</f>
        <v>8088</v>
      </c>
      <c r="F90" s="196">
        <v>43552</v>
      </c>
      <c r="G90">
        <v>8955</v>
      </c>
    </row>
    <row r="91" spans="1:7" x14ac:dyDescent="0.25">
      <c r="A91" s="11">
        <v>43566</v>
      </c>
      <c r="B91" s="7">
        <f>7718+(-7-48+500)</f>
        <v>8163</v>
      </c>
      <c r="F91" s="196">
        <v>43558</v>
      </c>
      <c r="G91">
        <v>7495</v>
      </c>
    </row>
    <row r="92" spans="1:7" x14ac:dyDescent="0.25">
      <c r="A92" s="11">
        <v>43577</v>
      </c>
      <c r="B92" s="7">
        <f>8525+(-7-53+500)</f>
        <v>8965</v>
      </c>
      <c r="F92" s="196">
        <v>43560</v>
      </c>
      <c r="G92">
        <v>7700</v>
      </c>
    </row>
    <row r="93" spans="1:7" x14ac:dyDescent="0.25">
      <c r="A93" s="11">
        <v>43579</v>
      </c>
      <c r="B93" s="7">
        <f>8479+(-7-52+500)</f>
        <v>8920</v>
      </c>
      <c r="F93" s="196">
        <v>43564</v>
      </c>
      <c r="G93">
        <v>8088</v>
      </c>
    </row>
    <row r="94" spans="1:7" x14ac:dyDescent="0.25">
      <c r="A94" s="11">
        <v>43580</v>
      </c>
      <c r="B94" s="7">
        <f>8394+(-7-52+500)</f>
        <v>8835</v>
      </c>
      <c r="F94" s="196">
        <v>43566</v>
      </c>
      <c r="G94">
        <v>8163</v>
      </c>
    </row>
    <row r="95" spans="1:7" x14ac:dyDescent="0.25">
      <c r="A95" s="11">
        <v>43581</v>
      </c>
      <c r="B95" s="7">
        <f>8026+(-7-48+500)</f>
        <v>8471</v>
      </c>
      <c r="F95" s="196">
        <v>43577</v>
      </c>
      <c r="G95">
        <v>8965</v>
      </c>
    </row>
    <row r="96" spans="1:7" x14ac:dyDescent="0.25">
      <c r="A96" s="11">
        <v>43584</v>
      </c>
      <c r="B96" s="7">
        <f>8070+(-7-49+500)</f>
        <v>8514</v>
      </c>
      <c r="F96" s="196">
        <v>43579</v>
      </c>
      <c r="G96">
        <v>8920</v>
      </c>
    </row>
    <row r="97" spans="1:7" x14ac:dyDescent="0.25">
      <c r="A97" s="11">
        <v>43585</v>
      </c>
      <c r="B97" s="7">
        <f>8116+(-7-49+500)</f>
        <v>8560</v>
      </c>
      <c r="F97" s="196">
        <v>43580</v>
      </c>
      <c r="G97">
        <v>8835</v>
      </c>
    </row>
    <row r="98" spans="1:7" x14ac:dyDescent="0.25">
      <c r="A98" s="11">
        <v>43587</v>
      </c>
      <c r="B98" s="7">
        <f>8380+(-7-49+500)</f>
        <v>8824</v>
      </c>
      <c r="F98" s="196">
        <v>43581</v>
      </c>
      <c r="G98">
        <v>8471</v>
      </c>
    </row>
    <row r="99" spans="1:7" x14ac:dyDescent="0.25">
      <c r="A99" s="11">
        <v>43606</v>
      </c>
      <c r="B99" s="7">
        <f>8374+(-7-49+500)</f>
        <v>8818</v>
      </c>
      <c r="F99" s="196">
        <v>43584</v>
      </c>
      <c r="G99">
        <v>8514</v>
      </c>
    </row>
    <row r="100" spans="1:7" x14ac:dyDescent="0.25">
      <c r="A100" s="11">
        <v>43607</v>
      </c>
      <c r="B100" s="7">
        <f>8411+(-7-49+500)</f>
        <v>8855</v>
      </c>
      <c r="F100" s="196">
        <v>43585</v>
      </c>
      <c r="G100">
        <v>8560</v>
      </c>
    </row>
    <row r="101" spans="1:7" x14ac:dyDescent="0.25">
      <c r="A101" s="11">
        <v>43608</v>
      </c>
      <c r="B101" s="7">
        <f>8305+(-7-33+500)</f>
        <v>8765</v>
      </c>
      <c r="F101" s="196">
        <v>43587</v>
      </c>
      <c r="G101">
        <v>8824</v>
      </c>
    </row>
    <row r="102" spans="1:7" x14ac:dyDescent="0.25">
      <c r="A102" s="11">
        <v>43609</v>
      </c>
      <c r="B102" s="7">
        <f>8462+(-7-33+500)</f>
        <v>8922</v>
      </c>
      <c r="F102" s="196">
        <v>43606</v>
      </c>
      <c r="G102">
        <v>8818</v>
      </c>
    </row>
    <row r="103" spans="1:7" x14ac:dyDescent="0.25">
      <c r="A103" s="11">
        <v>43612</v>
      </c>
      <c r="B103" s="7">
        <f>8620+(-7-90+500)</f>
        <v>9023</v>
      </c>
      <c r="F103" s="196">
        <v>43607</v>
      </c>
      <c r="G103">
        <v>8855</v>
      </c>
    </row>
    <row r="104" spans="1:7" x14ac:dyDescent="0.25">
      <c r="A104" s="11">
        <v>43613</v>
      </c>
      <c r="B104" s="7">
        <f>8619+(-7-57+500)</f>
        <v>9055</v>
      </c>
      <c r="F104" s="196">
        <v>43608</v>
      </c>
      <c r="G104">
        <v>8765</v>
      </c>
    </row>
    <row r="105" spans="1:7" x14ac:dyDescent="0.25">
      <c r="A105" s="11">
        <v>43614</v>
      </c>
      <c r="B105" s="7">
        <f>8562+(-7-57+500)</f>
        <v>8998</v>
      </c>
      <c r="F105" s="196">
        <v>43609</v>
      </c>
      <c r="G105">
        <v>8922</v>
      </c>
    </row>
    <row r="106" spans="1:7" x14ac:dyDescent="0.25">
      <c r="A106" s="11">
        <v>43615</v>
      </c>
      <c r="B106" s="7">
        <f>8702+(-7-57+500)</f>
        <v>9138</v>
      </c>
      <c r="F106" s="196">
        <v>43612</v>
      </c>
      <c r="G106">
        <v>9023</v>
      </c>
    </row>
    <row r="107" spans="1:7" x14ac:dyDescent="0.25">
      <c r="A107" s="11">
        <v>43616</v>
      </c>
      <c r="B107" s="7">
        <f>8775+(-7-57+500)</f>
        <v>9211</v>
      </c>
      <c r="F107" s="196">
        <v>43613</v>
      </c>
      <c r="G107">
        <v>9055</v>
      </c>
    </row>
    <row r="108" spans="1:7" x14ac:dyDescent="0.25">
      <c r="A108" s="11">
        <v>43617</v>
      </c>
      <c r="B108" s="7">
        <f>8650+(-7-57+500)</f>
        <v>9086</v>
      </c>
      <c r="F108" s="196">
        <v>43614</v>
      </c>
      <c r="G108">
        <v>8998</v>
      </c>
    </row>
    <row r="109" spans="1:7" x14ac:dyDescent="0.25">
      <c r="A109" s="11">
        <v>43620</v>
      </c>
      <c r="B109" s="7">
        <f>8696+(-7-57+500)</f>
        <v>9132</v>
      </c>
      <c r="F109" s="196">
        <v>43615</v>
      </c>
      <c r="G109">
        <v>9138</v>
      </c>
    </row>
    <row r="110" spans="1:7" x14ac:dyDescent="0.25">
      <c r="A110" s="11">
        <v>43621</v>
      </c>
      <c r="B110" s="7">
        <f>8579+(-7-58+500)</f>
        <v>9014</v>
      </c>
      <c r="F110" s="196">
        <v>43616</v>
      </c>
      <c r="G110">
        <v>9211</v>
      </c>
    </row>
    <row r="111" spans="1:7" x14ac:dyDescent="0.25">
      <c r="A111" s="11">
        <v>43622</v>
      </c>
      <c r="B111" s="7">
        <f>8811+(-7-58+500)</f>
        <v>9246</v>
      </c>
      <c r="F111" s="196">
        <v>43617</v>
      </c>
      <c r="G111">
        <v>9086</v>
      </c>
    </row>
    <row r="112" spans="1:7" x14ac:dyDescent="0.25">
      <c r="A112" s="11">
        <v>43626</v>
      </c>
      <c r="B112" s="7">
        <f>9487+(-7-76+500)</f>
        <v>9904</v>
      </c>
      <c r="F112" s="196">
        <v>43620</v>
      </c>
      <c r="G112">
        <v>9132</v>
      </c>
    </row>
    <row r="113" spans="1:7" x14ac:dyDescent="0.25">
      <c r="A113" s="11">
        <v>43627</v>
      </c>
      <c r="B113" s="7">
        <f>9487+(-7-80+500)</f>
        <v>9900</v>
      </c>
      <c r="F113" s="196">
        <v>43621</v>
      </c>
      <c r="G113">
        <v>9014</v>
      </c>
    </row>
    <row r="114" spans="1:7" x14ac:dyDescent="0.25">
      <c r="A114" s="11">
        <v>43628</v>
      </c>
      <c r="B114" s="7">
        <f>9576+(-7-80+500)</f>
        <v>9989</v>
      </c>
      <c r="F114" s="196">
        <v>43622</v>
      </c>
      <c r="G114">
        <v>9246</v>
      </c>
    </row>
    <row r="115" spans="1:7" x14ac:dyDescent="0.25">
      <c r="A115" s="11">
        <v>43629</v>
      </c>
      <c r="B115" s="7">
        <f>9591+(-7-76+500)</f>
        <v>10008</v>
      </c>
      <c r="F115" s="196">
        <v>43626</v>
      </c>
      <c r="G115">
        <v>9904</v>
      </c>
    </row>
    <row r="116" spans="1:7" x14ac:dyDescent="0.25">
      <c r="A116" s="11">
        <v>43630</v>
      </c>
      <c r="B116" s="7">
        <f>9858+(-7-71+500)</f>
        <v>10280</v>
      </c>
      <c r="F116" s="196">
        <v>43627</v>
      </c>
      <c r="G116">
        <v>9900</v>
      </c>
    </row>
    <row r="117" spans="1:7" x14ac:dyDescent="0.25">
      <c r="A117" s="11">
        <v>43633</v>
      </c>
      <c r="B117" s="7">
        <f>9858+(-7-71+500)</f>
        <v>10280</v>
      </c>
      <c r="F117" s="196">
        <v>43628</v>
      </c>
      <c r="G117">
        <v>9989</v>
      </c>
    </row>
    <row r="118" spans="1:7" x14ac:dyDescent="0.25">
      <c r="A118" s="11">
        <v>43634</v>
      </c>
      <c r="B118" s="7">
        <f>10467+(-7-71+500)</f>
        <v>10889</v>
      </c>
      <c r="F118" s="196">
        <v>43629</v>
      </c>
      <c r="G118">
        <v>10008</v>
      </c>
    </row>
    <row r="119" spans="1:7" x14ac:dyDescent="0.25">
      <c r="A119" s="11">
        <v>43635</v>
      </c>
      <c r="B119" s="7">
        <f>10464+(-7-72+500)</f>
        <v>10885</v>
      </c>
      <c r="F119" s="196">
        <v>43630</v>
      </c>
      <c r="G119">
        <v>10280</v>
      </c>
    </row>
    <row r="120" spans="1:7" x14ac:dyDescent="0.25">
      <c r="A120" s="11">
        <v>43636</v>
      </c>
      <c r="B120" s="7">
        <f>10645+(-7-71+500)</f>
        <v>11067</v>
      </c>
      <c r="F120" s="196">
        <v>43633</v>
      </c>
      <c r="G120">
        <v>10280</v>
      </c>
    </row>
    <row r="121" spans="1:7" x14ac:dyDescent="0.25">
      <c r="A121" s="11">
        <v>43637</v>
      </c>
      <c r="B121" s="7">
        <f>10764+(-7-79+500)+550</f>
        <v>11728</v>
      </c>
      <c r="F121" s="196">
        <v>43634</v>
      </c>
      <c r="G121">
        <v>10889</v>
      </c>
    </row>
    <row r="122" spans="1:7" x14ac:dyDescent="0.25">
      <c r="A122" s="11">
        <v>43640</v>
      </c>
      <c r="B122" s="7">
        <f>10922+(-7-132+500)+400</f>
        <v>11683</v>
      </c>
      <c r="F122" s="196">
        <v>43635</v>
      </c>
      <c r="G122">
        <v>10885</v>
      </c>
    </row>
    <row r="123" spans="1:7" x14ac:dyDescent="0.25">
      <c r="A123" s="11">
        <v>43641</v>
      </c>
      <c r="B123" s="7">
        <f>11228+(-7-132+500)+430</f>
        <v>12019</v>
      </c>
      <c r="F123" s="196">
        <v>43636</v>
      </c>
      <c r="G123">
        <v>11067</v>
      </c>
    </row>
    <row r="124" spans="1:7" x14ac:dyDescent="0.25">
      <c r="A124" s="11">
        <v>43643</v>
      </c>
      <c r="B124" s="7">
        <f>10899+(-7-133+500)+515</f>
        <v>11774</v>
      </c>
      <c r="F124" s="196">
        <v>43637</v>
      </c>
      <c r="G124">
        <v>11728</v>
      </c>
    </row>
    <row r="125" spans="1:7" x14ac:dyDescent="0.25">
      <c r="A125" s="11">
        <v>43644</v>
      </c>
      <c r="B125" s="7">
        <f>10875+(-7-128+500)+607</f>
        <v>11847</v>
      </c>
      <c r="F125" s="196">
        <v>43640</v>
      </c>
      <c r="G125">
        <v>11683</v>
      </c>
    </row>
    <row r="126" spans="1:7" x14ac:dyDescent="0.25">
      <c r="A126" s="11">
        <v>43647</v>
      </c>
      <c r="B126" s="7">
        <f>11065+(-7-124+500)+314</f>
        <v>11748</v>
      </c>
      <c r="F126" s="196">
        <v>43641</v>
      </c>
      <c r="G126">
        <v>12019</v>
      </c>
    </row>
    <row r="127" spans="1:7" x14ac:dyDescent="0.25">
      <c r="A127" s="11">
        <v>43648</v>
      </c>
      <c r="B127" s="7">
        <f>11134+(-7-160+500)+908</f>
        <v>12375</v>
      </c>
      <c r="F127" s="196">
        <v>43643</v>
      </c>
      <c r="G127">
        <v>11774</v>
      </c>
    </row>
    <row r="128" spans="1:7" x14ac:dyDescent="0.25">
      <c r="A128" s="11">
        <v>43651</v>
      </c>
      <c r="B128" s="7">
        <f>11501+(-7-113+500)+1000</f>
        <v>12881</v>
      </c>
      <c r="F128" s="196">
        <v>43644</v>
      </c>
      <c r="G128">
        <v>11847</v>
      </c>
    </row>
    <row r="129" spans="1:7" x14ac:dyDescent="0.25">
      <c r="A129" s="11">
        <v>43654</v>
      </c>
      <c r="B129" s="7">
        <f>11942+(-7-113+500)+700</f>
        <v>13022</v>
      </c>
      <c r="F129" s="196">
        <v>43647</v>
      </c>
      <c r="G129">
        <v>11748</v>
      </c>
    </row>
    <row r="130" spans="1:7" x14ac:dyDescent="0.25">
      <c r="A130" s="11">
        <v>43655</v>
      </c>
      <c r="B130" s="7">
        <f>12150+(-7-113+500)</f>
        <v>12530</v>
      </c>
      <c r="F130" s="196">
        <v>43648</v>
      </c>
      <c r="G130">
        <v>12375</v>
      </c>
    </row>
    <row r="131" spans="1:7" x14ac:dyDescent="0.25">
      <c r="A131" s="11">
        <v>43656</v>
      </c>
      <c r="B131" s="7">
        <f>12066+(-7-108+500)</f>
        <v>12451</v>
      </c>
      <c r="F131" s="196">
        <v>43651</v>
      </c>
      <c r="G131">
        <v>12881</v>
      </c>
    </row>
    <row r="132" spans="1:7" x14ac:dyDescent="0.25">
      <c r="A132" s="11">
        <v>43657</v>
      </c>
      <c r="B132" s="7">
        <f>12437+(-7-118+500)+600</f>
        <v>13412</v>
      </c>
      <c r="F132" s="196">
        <v>43654</v>
      </c>
      <c r="G132">
        <v>13022</v>
      </c>
    </row>
    <row r="133" spans="1:7" x14ac:dyDescent="0.25">
      <c r="A133" s="11">
        <v>43658</v>
      </c>
      <c r="B133" s="7">
        <f>12427+(-7-123+500)+600</f>
        <v>13397</v>
      </c>
      <c r="F133" s="196">
        <v>43655</v>
      </c>
      <c r="G133">
        <v>12530</v>
      </c>
    </row>
    <row r="134" spans="1:7" x14ac:dyDescent="0.25">
      <c r="A134" s="11">
        <v>43661</v>
      </c>
      <c r="B134" s="7">
        <f>12899+(-7-143+500)+1000</f>
        <v>14249</v>
      </c>
      <c r="F134" s="196">
        <v>43656</v>
      </c>
      <c r="G134">
        <v>12451</v>
      </c>
    </row>
    <row r="135" spans="1:7" x14ac:dyDescent="0.25">
      <c r="A135" s="11">
        <v>43663</v>
      </c>
      <c r="B135" s="7">
        <f>12781+(-7-155+500)+1000</f>
        <v>14119</v>
      </c>
      <c r="F135" s="196">
        <v>43657</v>
      </c>
      <c r="G135">
        <v>13412</v>
      </c>
    </row>
    <row r="136" spans="1:7" x14ac:dyDescent="0.25">
      <c r="A136" s="11">
        <v>43664</v>
      </c>
      <c r="B136" s="7">
        <f>12780+(-7-158+500)+255</f>
        <v>13370</v>
      </c>
      <c r="F136" s="196">
        <v>43658</v>
      </c>
      <c r="G136">
        <v>13397</v>
      </c>
    </row>
    <row r="137" spans="1:7" x14ac:dyDescent="0.25">
      <c r="A137" s="11">
        <v>43665</v>
      </c>
      <c r="B137" s="7">
        <f>12896+(-7-148+500)+255</f>
        <v>13496</v>
      </c>
      <c r="F137" s="196">
        <v>43661</v>
      </c>
      <c r="G137">
        <v>14249</v>
      </c>
    </row>
    <row r="138" spans="1:7" x14ac:dyDescent="0.25">
      <c r="A138" s="11">
        <v>43669</v>
      </c>
      <c r="B138" s="7">
        <f>12875+(-7-146+500)+66</f>
        <v>13288</v>
      </c>
      <c r="F138" s="196">
        <v>43663</v>
      </c>
      <c r="G138">
        <v>14119</v>
      </c>
    </row>
    <row r="139" spans="1:7" x14ac:dyDescent="0.25">
      <c r="A139" s="11">
        <v>43670</v>
      </c>
      <c r="B139" s="7">
        <f>12460+(-7-38+500)+200</f>
        <v>13115</v>
      </c>
      <c r="F139" s="196">
        <v>43664</v>
      </c>
      <c r="G139">
        <v>13370</v>
      </c>
    </row>
    <row r="140" spans="1:7" x14ac:dyDescent="0.25">
      <c r="A140" s="11">
        <v>43671</v>
      </c>
      <c r="B140" s="7">
        <f>12469+(-7-38+500)+180</f>
        <v>13104</v>
      </c>
      <c r="F140" s="196">
        <v>43665</v>
      </c>
      <c r="G140">
        <v>13496</v>
      </c>
    </row>
    <row r="141" spans="1:7" x14ac:dyDescent="0.25">
      <c r="A141" s="11">
        <v>43672</v>
      </c>
      <c r="B141" s="7">
        <f>12469+(-7-38+500)+180</f>
        <v>13104</v>
      </c>
      <c r="F141" s="196">
        <v>43669</v>
      </c>
      <c r="G141">
        <v>13288</v>
      </c>
    </row>
    <row r="142" spans="1:7" x14ac:dyDescent="0.25">
      <c r="A142" s="11">
        <v>43675</v>
      </c>
      <c r="B142" s="7">
        <f>12289+(-7-38+500)+150</f>
        <v>12894</v>
      </c>
      <c r="F142" s="196">
        <v>43670</v>
      </c>
      <c r="G142">
        <v>13115</v>
      </c>
    </row>
    <row r="143" spans="1:7" x14ac:dyDescent="0.25">
      <c r="A143" s="11">
        <v>43676</v>
      </c>
      <c r="B143" s="7">
        <f>12289+(-7-38+500)+150</f>
        <v>12894</v>
      </c>
      <c r="F143" s="196">
        <v>43671</v>
      </c>
      <c r="G143">
        <v>13104</v>
      </c>
    </row>
    <row r="144" spans="1:7" x14ac:dyDescent="0.25">
      <c r="A144" s="11">
        <v>43677</v>
      </c>
      <c r="B144" s="7">
        <f>12055+(-7-38+500)+150</f>
        <v>12660</v>
      </c>
      <c r="F144" s="196">
        <v>43672</v>
      </c>
      <c r="G144">
        <v>13104</v>
      </c>
    </row>
    <row r="145" spans="1:7" x14ac:dyDescent="0.25">
      <c r="A145" s="11">
        <v>43679</v>
      </c>
      <c r="B145" s="7">
        <f>11698+(-7-38+500)</f>
        <v>12153</v>
      </c>
      <c r="F145" s="196">
        <v>43675</v>
      </c>
      <c r="G145">
        <v>12894</v>
      </c>
    </row>
    <row r="146" spans="1:7" x14ac:dyDescent="0.25">
      <c r="A146" s="11">
        <v>43682</v>
      </c>
      <c r="B146" s="7">
        <f>11410+(-7-38+500)+25</f>
        <v>11890</v>
      </c>
      <c r="F146" s="196">
        <v>43676</v>
      </c>
      <c r="G146">
        <v>12894</v>
      </c>
    </row>
    <row r="147" spans="1:7" x14ac:dyDescent="0.25">
      <c r="A147" s="11">
        <v>43684</v>
      </c>
      <c r="B147" s="7">
        <f>11470+(-8-36+500)+10</f>
        <v>11936</v>
      </c>
      <c r="F147" s="196">
        <v>43677</v>
      </c>
      <c r="G147">
        <v>12660</v>
      </c>
    </row>
    <row r="148" spans="1:7" x14ac:dyDescent="0.25">
      <c r="A148" s="11">
        <v>43686</v>
      </c>
      <c r="B148" s="7">
        <f>11722+(-8-36+500)</f>
        <v>12178</v>
      </c>
      <c r="F148" s="196">
        <v>43679</v>
      </c>
      <c r="G148">
        <v>12153</v>
      </c>
    </row>
    <row r="149" spans="1:7" x14ac:dyDescent="0.25">
      <c r="A149" s="11">
        <v>43689</v>
      </c>
      <c r="B149" s="7">
        <f>11939+(-8-36+500)</f>
        <v>12395</v>
      </c>
      <c r="F149" s="196">
        <v>43682</v>
      </c>
      <c r="G149">
        <v>11890</v>
      </c>
    </row>
    <row r="150" spans="1:7" x14ac:dyDescent="0.25">
      <c r="A150" s="11">
        <v>43690</v>
      </c>
      <c r="B150" s="7">
        <f>11891+(-8-36+500)</f>
        <v>12347</v>
      </c>
      <c r="F150" s="196">
        <v>43684</v>
      </c>
      <c r="G150">
        <v>11936</v>
      </c>
    </row>
    <row r="151" spans="1:7" x14ac:dyDescent="0.25">
      <c r="A151" s="11">
        <v>43692</v>
      </c>
      <c r="B151" s="7">
        <f>12307+(-8-36+500)</f>
        <v>12763</v>
      </c>
      <c r="F151" s="196">
        <v>43686</v>
      </c>
      <c r="G151">
        <v>12178</v>
      </c>
    </row>
    <row r="152" spans="1:7" x14ac:dyDescent="0.25">
      <c r="A152" s="11">
        <v>43693</v>
      </c>
      <c r="B152" s="7">
        <f>12307+(-8-36+500)</f>
        <v>12763</v>
      </c>
      <c r="F152" s="196">
        <v>43689</v>
      </c>
      <c r="G152">
        <v>12395</v>
      </c>
    </row>
    <row r="153" spans="1:7" x14ac:dyDescent="0.25">
      <c r="A153" s="11">
        <v>43700</v>
      </c>
      <c r="B153" s="7">
        <f>12513+(-8-40+500)</f>
        <v>12965</v>
      </c>
      <c r="F153" s="196">
        <v>43690</v>
      </c>
      <c r="G153">
        <v>12347</v>
      </c>
    </row>
    <row r="154" spans="1:7" x14ac:dyDescent="0.25">
      <c r="A154" s="11">
        <v>43726</v>
      </c>
      <c r="B154" s="7">
        <f>11300+(-7+500)</f>
        <v>11793</v>
      </c>
      <c r="F154" s="196">
        <v>43692</v>
      </c>
      <c r="G154">
        <v>12763</v>
      </c>
    </row>
    <row r="155" spans="1:7" x14ac:dyDescent="0.25">
      <c r="A155" s="11">
        <v>43727</v>
      </c>
      <c r="B155" s="7">
        <f>11377+(-7+500)</f>
        <v>11870</v>
      </c>
      <c r="F155" s="196">
        <v>43693</v>
      </c>
      <c r="G155">
        <v>12763</v>
      </c>
    </row>
    <row r="156" spans="1:7" x14ac:dyDescent="0.25">
      <c r="A156" s="11">
        <v>43728</v>
      </c>
      <c r="B156" s="7">
        <f>11572+(-7+500)</f>
        <v>12065</v>
      </c>
      <c r="F156" s="196">
        <v>43700</v>
      </c>
      <c r="G156">
        <v>12965</v>
      </c>
    </row>
    <row r="157" spans="1:7" x14ac:dyDescent="0.25">
      <c r="A157" s="11">
        <v>43729</v>
      </c>
      <c r="B157" s="7">
        <f>11572+(-7+500)</f>
        <v>12065</v>
      </c>
      <c r="F157" s="196">
        <v>43726</v>
      </c>
      <c r="G157">
        <v>11793</v>
      </c>
    </row>
    <row r="158" spans="1:7" x14ac:dyDescent="0.25">
      <c r="A158" s="11">
        <v>43735</v>
      </c>
      <c r="B158" s="7">
        <f>12317</f>
        <v>12317</v>
      </c>
      <c r="F158" s="196">
        <v>43727</v>
      </c>
      <c r="G158">
        <v>11870</v>
      </c>
    </row>
    <row r="159" spans="1:7" x14ac:dyDescent="0.25">
      <c r="A159" s="11">
        <v>43738</v>
      </c>
      <c r="B159" s="7">
        <v>12143</v>
      </c>
      <c r="F159" s="196">
        <v>43728</v>
      </c>
      <c r="G159">
        <v>12065</v>
      </c>
    </row>
    <row r="160" spans="1:7" x14ac:dyDescent="0.25">
      <c r="A160" s="11">
        <v>43739</v>
      </c>
      <c r="B160" s="7">
        <v>12055</v>
      </c>
      <c r="F160" s="196">
        <v>43729</v>
      </c>
      <c r="G160">
        <v>12065</v>
      </c>
    </row>
    <row r="161" spans="1:7" x14ac:dyDescent="0.25">
      <c r="A161" s="11">
        <v>43740</v>
      </c>
      <c r="B161" s="7">
        <v>12039</v>
      </c>
      <c r="F161" s="196">
        <v>43735</v>
      </c>
      <c r="G161">
        <v>12317</v>
      </c>
    </row>
    <row r="162" spans="1:7" x14ac:dyDescent="0.25">
      <c r="A162" s="11">
        <v>43741</v>
      </c>
      <c r="B162" s="7">
        <v>12039</v>
      </c>
      <c r="F162" s="196">
        <v>43738</v>
      </c>
      <c r="G162">
        <v>12143</v>
      </c>
    </row>
    <row r="163" spans="1:7" x14ac:dyDescent="0.25">
      <c r="A163" s="11">
        <v>43742</v>
      </c>
      <c r="B163" s="7">
        <v>12215</v>
      </c>
      <c r="F163" s="196">
        <v>43739</v>
      </c>
      <c r="G163">
        <v>12055</v>
      </c>
    </row>
    <row r="164" spans="1:7" x14ac:dyDescent="0.25">
      <c r="A164" s="11">
        <v>43745</v>
      </c>
      <c r="B164" s="7">
        <v>12158</v>
      </c>
      <c r="F164" s="196">
        <v>43740</v>
      </c>
      <c r="G164">
        <v>12039</v>
      </c>
    </row>
    <row r="165" spans="1:7" x14ac:dyDescent="0.25">
      <c r="A165" s="11">
        <v>43746</v>
      </c>
      <c r="B165" s="7">
        <v>12054</v>
      </c>
      <c r="F165" s="196">
        <v>43741</v>
      </c>
      <c r="G165">
        <v>12039</v>
      </c>
    </row>
    <row r="166" spans="1:7" x14ac:dyDescent="0.25">
      <c r="A166" s="11">
        <v>43747</v>
      </c>
      <c r="B166" s="7">
        <v>11960</v>
      </c>
      <c r="F166" s="196">
        <v>43742</v>
      </c>
      <c r="G166">
        <v>12215</v>
      </c>
    </row>
    <row r="167" spans="1:7" x14ac:dyDescent="0.25">
      <c r="A167" s="11">
        <v>43748</v>
      </c>
      <c r="B167" s="7">
        <v>12119</v>
      </c>
      <c r="F167" s="196">
        <v>43745</v>
      </c>
      <c r="G167">
        <v>12158</v>
      </c>
    </row>
    <row r="168" spans="1:7" x14ac:dyDescent="0.25">
      <c r="A168" s="11">
        <v>43749</v>
      </c>
      <c r="B168" s="7">
        <v>12286</v>
      </c>
      <c r="F168" s="196">
        <v>43746</v>
      </c>
      <c r="G168">
        <v>12054</v>
      </c>
    </row>
    <row r="169" spans="1:7" x14ac:dyDescent="0.25">
      <c r="A169" s="11">
        <v>43752</v>
      </c>
      <c r="B169" s="7">
        <v>12008</v>
      </c>
      <c r="F169" s="196">
        <v>43747</v>
      </c>
      <c r="G169">
        <v>11960</v>
      </c>
    </row>
    <row r="170" spans="1:7" x14ac:dyDescent="0.25">
      <c r="A170" s="11">
        <v>43753</v>
      </c>
      <c r="B170" s="7">
        <v>12085</v>
      </c>
      <c r="F170" s="196">
        <v>43748</v>
      </c>
      <c r="G170">
        <v>12119</v>
      </c>
    </row>
    <row r="171" spans="1:7" x14ac:dyDescent="0.25">
      <c r="A171" s="11">
        <v>43755</v>
      </c>
      <c r="B171" s="7">
        <v>12202</v>
      </c>
      <c r="F171" s="196">
        <v>43749</v>
      </c>
      <c r="G171">
        <v>12286</v>
      </c>
    </row>
    <row r="172" spans="1:7" x14ac:dyDescent="0.25">
      <c r="A172" s="11">
        <v>43756</v>
      </c>
      <c r="B172" s="7">
        <v>12568</v>
      </c>
      <c r="F172" s="196">
        <v>43752</v>
      </c>
      <c r="G172">
        <v>12008</v>
      </c>
    </row>
    <row r="173" spans="1:7" x14ac:dyDescent="0.25">
      <c r="A173" s="11">
        <v>43759</v>
      </c>
      <c r="B173" s="7">
        <v>12675</v>
      </c>
      <c r="F173" s="196">
        <v>43753</v>
      </c>
      <c r="G173">
        <v>12085</v>
      </c>
    </row>
    <row r="174" spans="1:7" x14ac:dyDescent="0.25">
      <c r="A174" s="11">
        <v>43760</v>
      </c>
      <c r="B174" s="7">
        <v>12675</v>
      </c>
      <c r="F174" s="196">
        <v>43755</v>
      </c>
      <c r="G174">
        <v>12202</v>
      </c>
    </row>
    <row r="175" spans="1:7" x14ac:dyDescent="0.25">
      <c r="A175" s="11">
        <v>43761</v>
      </c>
      <c r="B175" s="7">
        <v>12677</v>
      </c>
      <c r="F175" s="196">
        <v>43756</v>
      </c>
      <c r="G175">
        <v>12568</v>
      </c>
    </row>
    <row r="176" spans="1:7" x14ac:dyDescent="0.25">
      <c r="A176" s="11">
        <v>43762</v>
      </c>
      <c r="B176" s="7">
        <v>12690</v>
      </c>
      <c r="F176" s="196">
        <v>43759</v>
      </c>
      <c r="G176">
        <v>12675</v>
      </c>
    </row>
    <row r="177" spans="1:7" x14ac:dyDescent="0.25">
      <c r="A177" s="11">
        <v>43766</v>
      </c>
      <c r="B177" s="7">
        <v>13037</v>
      </c>
      <c r="F177" s="196">
        <v>43760</v>
      </c>
      <c r="G177">
        <v>12675</v>
      </c>
    </row>
    <row r="178" spans="1:7" x14ac:dyDescent="0.25">
      <c r="A178" s="11">
        <v>43767</v>
      </c>
      <c r="B178" s="7">
        <v>12801</v>
      </c>
      <c r="F178" s="196">
        <v>43761</v>
      </c>
      <c r="G178">
        <v>12677</v>
      </c>
    </row>
    <row r="179" spans="1:7" x14ac:dyDescent="0.25">
      <c r="A179" s="11">
        <v>43768</v>
      </c>
      <c r="B179" s="7"/>
      <c r="F179" s="196">
        <v>43762</v>
      </c>
      <c r="G179">
        <v>12690</v>
      </c>
    </row>
    <row r="180" spans="1:7" x14ac:dyDescent="0.25">
      <c r="A180" s="11">
        <v>43773</v>
      </c>
      <c r="B180" s="7">
        <v>12652</v>
      </c>
      <c r="F180" s="196">
        <v>43766</v>
      </c>
      <c r="G180">
        <v>13037</v>
      </c>
    </row>
    <row r="181" spans="1:7" x14ac:dyDescent="0.25">
      <c r="A181" s="11">
        <v>43775</v>
      </c>
      <c r="B181" s="7">
        <v>12799</v>
      </c>
      <c r="F181" s="196">
        <v>43767</v>
      </c>
      <c r="G181">
        <v>12801</v>
      </c>
    </row>
    <row r="182" spans="1:7" x14ac:dyDescent="0.25">
      <c r="A182" s="11">
        <v>43776</v>
      </c>
      <c r="B182" s="7">
        <v>13085</v>
      </c>
      <c r="F182" s="196">
        <v>43768</v>
      </c>
    </row>
    <row r="183" spans="1:7" x14ac:dyDescent="0.25">
      <c r="A183" s="11">
        <v>43780</v>
      </c>
      <c r="B183" s="7">
        <v>14114</v>
      </c>
      <c r="F183" s="196">
        <v>43773</v>
      </c>
      <c r="G183">
        <v>12652</v>
      </c>
    </row>
    <row r="184" spans="1:7" x14ac:dyDescent="0.25">
      <c r="A184" s="11">
        <v>43782</v>
      </c>
      <c r="B184" s="7">
        <v>14359</v>
      </c>
      <c r="F184" s="196">
        <v>43775</v>
      </c>
      <c r="G184">
        <v>12799</v>
      </c>
    </row>
    <row r="185" spans="1:7" x14ac:dyDescent="0.25">
      <c r="A185" s="11">
        <v>43783</v>
      </c>
      <c r="B185" s="7">
        <v>14506</v>
      </c>
      <c r="F185" s="196">
        <v>43776</v>
      </c>
      <c r="G185">
        <v>13085</v>
      </c>
    </row>
    <row r="186" spans="1:7" x14ac:dyDescent="0.25">
      <c r="A186" s="11">
        <v>43784</v>
      </c>
      <c r="B186" s="7">
        <v>14436</v>
      </c>
      <c r="F186" s="196">
        <v>43780</v>
      </c>
      <c r="G186">
        <v>14114</v>
      </c>
    </row>
    <row r="187" spans="1:7" x14ac:dyDescent="0.25">
      <c r="A187" s="11">
        <v>43787</v>
      </c>
      <c r="B187" s="7">
        <v>14550</v>
      </c>
      <c r="F187" s="196">
        <v>43782</v>
      </c>
      <c r="G187">
        <v>14359</v>
      </c>
    </row>
    <row r="188" spans="1:7" x14ac:dyDescent="0.25">
      <c r="A188" s="11">
        <v>43790</v>
      </c>
      <c r="B188" s="7">
        <v>14372</v>
      </c>
      <c r="F188" s="196">
        <v>43783</v>
      </c>
      <c r="G188">
        <v>14506</v>
      </c>
    </row>
    <row r="189" spans="1:7" x14ac:dyDescent="0.25">
      <c r="A189" s="11">
        <v>43791</v>
      </c>
      <c r="B189" s="7">
        <v>14259</v>
      </c>
      <c r="F189" s="196">
        <v>43784</v>
      </c>
      <c r="G189">
        <v>14436</v>
      </c>
    </row>
    <row r="190" spans="1:7" x14ac:dyDescent="0.25">
      <c r="A190" s="11">
        <v>43794</v>
      </c>
      <c r="B190" s="7">
        <v>13268</v>
      </c>
      <c r="F190" s="196">
        <v>43787</v>
      </c>
      <c r="G190">
        <v>14550</v>
      </c>
    </row>
    <row r="191" spans="1:7" x14ac:dyDescent="0.25">
      <c r="A191" s="11">
        <v>43795</v>
      </c>
      <c r="B191" s="7">
        <v>13083</v>
      </c>
      <c r="F191" s="196">
        <v>43790</v>
      </c>
      <c r="G191">
        <v>14372</v>
      </c>
    </row>
    <row r="192" spans="1:7" x14ac:dyDescent="0.25">
      <c r="A192" s="11">
        <v>43799</v>
      </c>
      <c r="B192" s="7">
        <v>13316</v>
      </c>
      <c r="F192" s="196">
        <v>43791</v>
      </c>
      <c r="G192">
        <v>14259</v>
      </c>
    </row>
    <row r="193" spans="1:7" x14ac:dyDescent="0.25">
      <c r="A193" s="11">
        <v>43802</v>
      </c>
      <c r="B193" s="7">
        <v>13276</v>
      </c>
      <c r="F193" s="196">
        <v>43794</v>
      </c>
      <c r="G193">
        <v>13268</v>
      </c>
    </row>
    <row r="194" spans="1:7" x14ac:dyDescent="0.25">
      <c r="A194" s="11">
        <v>43803</v>
      </c>
      <c r="B194" s="7">
        <v>13509</v>
      </c>
      <c r="F194" s="196">
        <v>43795</v>
      </c>
      <c r="G194">
        <v>13083</v>
      </c>
    </row>
    <row r="195" spans="1:7" x14ac:dyDescent="0.25">
      <c r="A195" s="11">
        <v>43804</v>
      </c>
      <c r="B195" s="7">
        <v>13331</v>
      </c>
      <c r="F195" s="196">
        <v>43799</v>
      </c>
      <c r="G195">
        <v>13316</v>
      </c>
    </row>
    <row r="196" spans="1:7" x14ac:dyDescent="0.25">
      <c r="A196" s="11">
        <v>43805</v>
      </c>
      <c r="B196" s="7">
        <v>13473</v>
      </c>
      <c r="F196" s="196">
        <v>43802</v>
      </c>
      <c r="G196">
        <v>13276</v>
      </c>
    </row>
    <row r="197" spans="1:7" x14ac:dyDescent="0.25">
      <c r="A197" s="11">
        <v>43808</v>
      </c>
      <c r="B197" s="7">
        <v>13303</v>
      </c>
      <c r="F197" s="196">
        <v>43803</v>
      </c>
      <c r="G197">
        <v>13509</v>
      </c>
    </row>
    <row r="198" spans="1:7" x14ac:dyDescent="0.25">
      <c r="A198" s="11">
        <v>43809</v>
      </c>
      <c r="B198" s="7">
        <v>13255</v>
      </c>
      <c r="F198" s="196">
        <v>43804</v>
      </c>
      <c r="G198">
        <v>13331</v>
      </c>
    </row>
    <row r="199" spans="1:7" x14ac:dyDescent="0.25">
      <c r="A199" s="11">
        <v>43811</v>
      </c>
      <c r="B199" s="7">
        <v>13156</v>
      </c>
      <c r="F199" s="196">
        <v>43805</v>
      </c>
      <c r="G199">
        <v>13473</v>
      </c>
    </row>
    <row r="200" spans="1:7" x14ac:dyDescent="0.25">
      <c r="A200" s="11">
        <v>43815</v>
      </c>
      <c r="B200" s="7">
        <v>12432</v>
      </c>
      <c r="F200" s="196">
        <v>43808</v>
      </c>
      <c r="G200">
        <v>13303</v>
      </c>
    </row>
    <row r="201" spans="1:7" x14ac:dyDescent="0.25">
      <c r="A201" s="11">
        <v>43816</v>
      </c>
      <c r="B201" s="7">
        <v>12314</v>
      </c>
      <c r="F201" s="196">
        <v>43809</v>
      </c>
      <c r="G201">
        <v>13255</v>
      </c>
    </row>
    <row r="202" spans="1:7" x14ac:dyDescent="0.25">
      <c r="A202" s="11">
        <v>43818</v>
      </c>
      <c r="B202" s="7">
        <v>12656</v>
      </c>
      <c r="F202" s="196">
        <v>43811</v>
      </c>
      <c r="G202">
        <v>13156</v>
      </c>
    </row>
    <row r="203" spans="1:7" x14ac:dyDescent="0.25">
      <c r="A203" s="11">
        <v>43819</v>
      </c>
      <c r="B203" s="7">
        <v>13183</v>
      </c>
      <c r="F203" s="196">
        <v>43815</v>
      </c>
      <c r="G203">
        <v>12432</v>
      </c>
    </row>
    <row r="204" spans="1:7" x14ac:dyDescent="0.25">
      <c r="A204" s="11">
        <v>43822</v>
      </c>
      <c r="B204" s="7">
        <v>12920</v>
      </c>
      <c r="F204" s="196">
        <v>43816</v>
      </c>
      <c r="G204">
        <v>12314</v>
      </c>
    </row>
    <row r="205" spans="1:7" x14ac:dyDescent="0.25">
      <c r="A205" s="11">
        <v>43825</v>
      </c>
      <c r="B205" s="7">
        <v>12424</v>
      </c>
      <c r="F205" s="196">
        <v>43818</v>
      </c>
      <c r="G205">
        <v>12656</v>
      </c>
    </row>
    <row r="206" spans="1:7" x14ac:dyDescent="0.25">
      <c r="A206" s="11">
        <v>43829</v>
      </c>
      <c r="B206" s="7">
        <v>12578</v>
      </c>
      <c r="F206" s="196">
        <v>43819</v>
      </c>
      <c r="G206">
        <v>13183</v>
      </c>
    </row>
    <row r="207" spans="1:7" x14ac:dyDescent="0.25">
      <c r="A207" s="11">
        <v>43832</v>
      </c>
      <c r="B207" s="7">
        <v>12289</v>
      </c>
      <c r="F207" s="196">
        <v>43822</v>
      </c>
      <c r="G207">
        <v>12920</v>
      </c>
    </row>
    <row r="208" spans="1:7" x14ac:dyDescent="0.25">
      <c r="A208" s="11">
        <v>43833</v>
      </c>
      <c r="B208" s="7">
        <v>12203</v>
      </c>
      <c r="F208" s="196">
        <v>43825</v>
      </c>
      <c r="G208">
        <v>12424</v>
      </c>
    </row>
    <row r="209" spans="1:7" x14ac:dyDescent="0.25">
      <c r="A209" s="11">
        <v>43836</v>
      </c>
      <c r="B209" s="7">
        <v>12370</v>
      </c>
      <c r="F209" s="196">
        <v>43829</v>
      </c>
      <c r="G209">
        <v>12578</v>
      </c>
    </row>
    <row r="210" spans="1:7" x14ac:dyDescent="0.25">
      <c r="A210" s="11">
        <v>43837</v>
      </c>
      <c r="B210" s="7">
        <v>12438</v>
      </c>
      <c r="F210" s="196">
        <v>43832</v>
      </c>
      <c r="G210">
        <v>12289</v>
      </c>
    </row>
    <row r="211" spans="1:7" x14ac:dyDescent="0.25">
      <c r="A211" s="11">
        <v>43838</v>
      </c>
      <c r="B211" s="7">
        <v>12632</v>
      </c>
      <c r="F211" s="196">
        <v>43833</v>
      </c>
      <c r="G211">
        <v>12203</v>
      </c>
    </row>
    <row r="212" spans="1:7" x14ac:dyDescent="0.25">
      <c r="A212" s="11">
        <v>43839</v>
      </c>
      <c r="B212" s="7">
        <v>12872</v>
      </c>
      <c r="F212" s="196">
        <v>43836</v>
      </c>
      <c r="G212">
        <v>12370</v>
      </c>
    </row>
    <row r="213" spans="1:7" x14ac:dyDescent="0.25">
      <c r="A213" s="11">
        <v>43843</v>
      </c>
      <c r="B213" s="7">
        <v>13096</v>
      </c>
      <c r="F213" s="196">
        <v>43837</v>
      </c>
      <c r="G213">
        <v>12438</v>
      </c>
    </row>
    <row r="214" spans="1:7" x14ac:dyDescent="0.25">
      <c r="A214" s="11">
        <v>43847</v>
      </c>
      <c r="B214" s="7">
        <v>13213</v>
      </c>
      <c r="F214" s="196">
        <v>43838</v>
      </c>
      <c r="G214">
        <v>12632</v>
      </c>
    </row>
    <row r="215" spans="1:7" x14ac:dyDescent="0.25">
      <c r="A215" s="11">
        <v>43850</v>
      </c>
      <c r="B215" s="7">
        <v>12755</v>
      </c>
      <c r="F215" s="196">
        <v>43839</v>
      </c>
      <c r="G215">
        <v>12872</v>
      </c>
    </row>
    <row r="216" spans="1:7" x14ac:dyDescent="0.25">
      <c r="A216" s="11">
        <v>43852</v>
      </c>
      <c r="B216" s="7">
        <v>12927</v>
      </c>
      <c r="F216" s="196">
        <v>43843</v>
      </c>
      <c r="G216">
        <v>13096</v>
      </c>
    </row>
    <row r="217" spans="1:7" x14ac:dyDescent="0.25">
      <c r="A217" s="11">
        <v>43853</v>
      </c>
      <c r="B217" s="7">
        <v>13255</v>
      </c>
      <c r="F217" s="196">
        <v>43847</v>
      </c>
      <c r="G217">
        <v>13213</v>
      </c>
    </row>
    <row r="218" spans="1:7" x14ac:dyDescent="0.25">
      <c r="A218" s="11">
        <v>43857</v>
      </c>
      <c r="B218" s="7">
        <v>13184</v>
      </c>
      <c r="F218" s="196">
        <v>43850</v>
      </c>
      <c r="G218">
        <v>12755</v>
      </c>
    </row>
    <row r="219" spans="1:7" x14ac:dyDescent="0.25">
      <c r="A219" s="11">
        <v>43859</v>
      </c>
      <c r="B219" s="7">
        <v>13135</v>
      </c>
      <c r="F219" s="196">
        <v>43852</v>
      </c>
      <c r="G219">
        <v>12927</v>
      </c>
    </row>
    <row r="220" spans="1:7" x14ac:dyDescent="0.25">
      <c r="A220" s="11">
        <v>43860</v>
      </c>
      <c r="B220" s="7">
        <v>13055</v>
      </c>
      <c r="F220" s="196">
        <v>43853</v>
      </c>
      <c r="G220">
        <v>13255</v>
      </c>
    </row>
    <row r="221" spans="1:7" x14ac:dyDescent="0.25">
      <c r="A221" s="11">
        <v>43864</v>
      </c>
      <c r="B221" s="7">
        <v>14126</v>
      </c>
      <c r="F221" s="196">
        <v>43857</v>
      </c>
      <c r="G221">
        <v>13184</v>
      </c>
    </row>
    <row r="222" spans="1:7" x14ac:dyDescent="0.25">
      <c r="A222" s="11">
        <v>43867</v>
      </c>
      <c r="B222" s="7">
        <v>14347</v>
      </c>
      <c r="F222" s="196">
        <v>43859</v>
      </c>
      <c r="G222">
        <v>13135</v>
      </c>
    </row>
    <row r="223" spans="1:7" x14ac:dyDescent="0.25">
      <c r="A223" s="11">
        <v>43868</v>
      </c>
      <c r="B223" s="7">
        <v>14984</v>
      </c>
      <c r="F223" s="196">
        <v>43860</v>
      </c>
      <c r="G223">
        <v>13055</v>
      </c>
    </row>
    <row r="224" spans="1:7" x14ac:dyDescent="0.25">
      <c r="A224" s="11">
        <v>43871</v>
      </c>
      <c r="B224" s="7">
        <v>15545</v>
      </c>
      <c r="F224" s="196">
        <v>43864</v>
      </c>
      <c r="G224">
        <v>14126</v>
      </c>
    </row>
    <row r="225" spans="2:7" x14ac:dyDescent="0.25">
      <c r="F225" s="196">
        <v>43867</v>
      </c>
      <c r="G225">
        <v>14347</v>
      </c>
    </row>
    <row r="226" spans="2:7" x14ac:dyDescent="0.25">
      <c r="F226" s="196">
        <v>43868</v>
      </c>
      <c r="G226">
        <v>14984</v>
      </c>
    </row>
    <row r="227" spans="2:7" x14ac:dyDescent="0.25">
      <c r="F227" s="196">
        <v>43871</v>
      </c>
      <c r="G227">
        <v>15545</v>
      </c>
    </row>
    <row r="228" spans="2:7" x14ac:dyDescent="0.25">
      <c r="B228">
        <f>MAX(B2:B224)</f>
        <v>15545</v>
      </c>
      <c r="F228" s="17" t="s">
        <v>74</v>
      </c>
      <c r="G228">
        <v>2470787</v>
      </c>
    </row>
  </sheetData>
  <pageMargins left="0.7" right="0.7" top="0.75" bottom="0.75" header="0.3" footer="0.3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R903"/>
  <sheetViews>
    <sheetView zoomScale="96" zoomScaleNormal="96" workbookViewId="0">
      <pane xSplit="2" ySplit="1" topLeftCell="C870" activePane="bottomRight" state="frozen"/>
      <selection pane="topRight" activeCell="SM65" sqref="SM65"/>
      <selection pane="bottomLeft" activeCell="SM65" sqref="SM65"/>
      <selection pane="bottomRight" activeCell="B885" sqref="B885"/>
    </sheetView>
  </sheetViews>
  <sheetFormatPr defaultRowHeight="15" x14ac:dyDescent="0.25"/>
  <cols>
    <col min="1" max="1" width="15.140625" customWidth="1"/>
    <col min="2" max="2" width="11.85546875" bestFit="1" customWidth="1"/>
    <col min="4" max="4" width="10.28515625" customWidth="1"/>
    <col min="12" max="12" width="11.42578125" customWidth="1"/>
    <col min="14" max="14" width="13.28515625" bestFit="1" customWidth="1"/>
    <col min="15" max="15" width="20.42578125" bestFit="1" customWidth="1"/>
    <col min="16" max="16" width="12.42578125" bestFit="1" customWidth="1"/>
    <col min="17" max="17" width="16.85546875" bestFit="1" customWidth="1"/>
    <col min="18" max="19" width="13.7109375" bestFit="1" customWidth="1"/>
    <col min="20" max="20" width="7.140625" customWidth="1"/>
    <col min="21" max="37" width="9.7109375" bestFit="1" customWidth="1"/>
    <col min="38" max="50" width="10.7109375" bestFit="1" customWidth="1"/>
    <col min="51" max="53" width="9.7109375" bestFit="1" customWidth="1"/>
    <col min="54" max="63" width="10.7109375" bestFit="1" customWidth="1"/>
    <col min="64" max="68" width="9.7109375" bestFit="1" customWidth="1"/>
    <col min="69" max="69" width="11.28515625" bestFit="1" customWidth="1"/>
  </cols>
  <sheetData>
    <row r="1" spans="1:13" x14ac:dyDescent="0.25">
      <c r="A1" t="s">
        <v>234</v>
      </c>
      <c r="B1" t="s">
        <v>83</v>
      </c>
      <c r="C1" s="6" t="s">
        <v>218</v>
      </c>
      <c r="D1" s="6" t="s">
        <v>219</v>
      </c>
      <c r="E1" s="6" t="s">
        <v>50</v>
      </c>
      <c r="F1" s="119" t="s">
        <v>220</v>
      </c>
      <c r="G1" s="119" t="s">
        <v>52</v>
      </c>
      <c r="H1" s="82" t="s">
        <v>123</v>
      </c>
      <c r="I1" s="15" t="s">
        <v>82</v>
      </c>
      <c r="J1" s="15"/>
      <c r="K1" s="319" t="s">
        <v>221</v>
      </c>
      <c r="L1" s="319" t="s">
        <v>222</v>
      </c>
      <c r="M1" s="15"/>
    </row>
    <row r="2" spans="1:13" x14ac:dyDescent="0.25">
      <c r="A2">
        <v>8</v>
      </c>
      <c r="B2" s="11">
        <v>43679</v>
      </c>
      <c r="C2" s="10">
        <v>7357</v>
      </c>
      <c r="D2" s="10">
        <f>10993-G2-(2000*0.125*0)</f>
        <v>9553</v>
      </c>
      <c r="E2" s="7">
        <f>11698+(-7-38+500)</f>
        <v>12153</v>
      </c>
      <c r="G2" s="95">
        <v>1440</v>
      </c>
      <c r="H2" s="122"/>
      <c r="I2" s="122"/>
      <c r="J2" s="122"/>
      <c r="K2" s="122"/>
      <c r="L2" s="122"/>
      <c r="M2" s="122"/>
    </row>
    <row r="3" spans="1:13" x14ac:dyDescent="0.25">
      <c r="A3">
        <v>8</v>
      </c>
      <c r="B3" s="11">
        <v>43682</v>
      </c>
      <c r="C3" s="10">
        <v>7127</v>
      </c>
      <c r="D3" s="10">
        <f>11216-G3-(2000*0.125*0)</f>
        <v>9776</v>
      </c>
      <c r="E3" s="7">
        <f>11410+(-7-38+500)+25</f>
        <v>11890</v>
      </c>
      <c r="G3" s="95">
        <v>1440</v>
      </c>
      <c r="H3" s="122"/>
      <c r="I3" s="122"/>
      <c r="J3" s="122"/>
      <c r="K3" s="122"/>
      <c r="L3" s="122"/>
      <c r="M3" s="122"/>
    </row>
    <row r="4" spans="1:13" x14ac:dyDescent="0.25">
      <c r="A4">
        <v>8</v>
      </c>
      <c r="B4" s="11">
        <v>43684</v>
      </c>
      <c r="C4" s="10">
        <v>7547</v>
      </c>
      <c r="D4" s="10">
        <f>11414-G4-(2000*0.125*0)</f>
        <v>10081</v>
      </c>
      <c r="E4" s="7">
        <f>11470+(-8-36+500)+10</f>
        <v>11936</v>
      </c>
      <c r="G4" s="95">
        <v>1333</v>
      </c>
      <c r="H4" s="122"/>
      <c r="I4" s="122"/>
      <c r="J4" s="122"/>
      <c r="K4" s="122"/>
      <c r="L4" s="122"/>
      <c r="M4" s="122"/>
    </row>
    <row r="5" spans="1:13" x14ac:dyDescent="0.25">
      <c r="A5">
        <v>8</v>
      </c>
      <c r="B5" s="11">
        <v>43686</v>
      </c>
      <c r="C5" s="10">
        <v>7941</v>
      </c>
      <c r="D5" s="10">
        <f>11387-G5-(2000*0.125*0)</f>
        <v>10062</v>
      </c>
      <c r="E5" s="7">
        <f>11722+(-8-36+500)</f>
        <v>12178</v>
      </c>
      <c r="G5" s="95">
        <v>1325</v>
      </c>
      <c r="H5" s="122"/>
      <c r="I5" s="122"/>
      <c r="J5" s="122"/>
      <c r="K5" s="122"/>
      <c r="L5" s="122"/>
      <c r="M5" s="122"/>
    </row>
    <row r="6" spans="1:13" x14ac:dyDescent="0.25">
      <c r="A6">
        <v>8</v>
      </c>
      <c r="B6" s="11">
        <v>43689</v>
      </c>
      <c r="C6" s="10">
        <v>8486</v>
      </c>
      <c r="D6" s="10">
        <f>9519-G6-(2000*0.125*0)</f>
        <v>8194</v>
      </c>
      <c r="E6" s="7">
        <f>11939+(-8-36+500)</f>
        <v>12395</v>
      </c>
      <c r="G6" s="95">
        <v>1325</v>
      </c>
      <c r="H6" s="122"/>
      <c r="I6" s="122"/>
      <c r="J6" s="122"/>
      <c r="K6" s="122"/>
      <c r="L6" s="122"/>
      <c r="M6" s="122"/>
    </row>
    <row r="7" spans="1:13" x14ac:dyDescent="0.25">
      <c r="A7">
        <v>8</v>
      </c>
      <c r="B7" s="11">
        <v>43690</v>
      </c>
      <c r="C7" s="10">
        <v>8467</v>
      </c>
      <c r="D7" s="10">
        <f>9516-G7-(2000*0.125*0)</f>
        <v>8211</v>
      </c>
      <c r="E7" s="7">
        <f>11891+(-8-36+500)</f>
        <v>12347</v>
      </c>
      <c r="G7" s="95">
        <v>1305</v>
      </c>
      <c r="H7" s="122"/>
      <c r="I7" s="122"/>
      <c r="J7" s="122"/>
      <c r="K7" s="122"/>
      <c r="L7" s="122"/>
      <c r="M7" s="122"/>
    </row>
    <row r="8" spans="1:13" x14ac:dyDescent="0.25">
      <c r="A8">
        <v>8</v>
      </c>
      <c r="B8" s="11">
        <v>43692</v>
      </c>
      <c r="C8" s="10">
        <v>8950</v>
      </c>
      <c r="D8" s="10">
        <f>9684-G8-(2000*0.125*0)</f>
        <v>8247</v>
      </c>
      <c r="E8" s="7">
        <f>12307+(-8-36+500)</f>
        <v>12763</v>
      </c>
      <c r="G8" s="95">
        <v>1437</v>
      </c>
      <c r="H8" s="122"/>
      <c r="I8" s="122"/>
      <c r="J8" s="122"/>
      <c r="K8" s="122"/>
      <c r="L8" s="122"/>
      <c r="M8" s="122"/>
    </row>
    <row r="9" spans="1:13" x14ac:dyDescent="0.25">
      <c r="A9">
        <v>8</v>
      </c>
      <c r="B9" s="11">
        <v>43693</v>
      </c>
      <c r="C9" s="10">
        <v>8950</v>
      </c>
      <c r="D9" s="10">
        <f>9684-G9-(2000*0.125*0)</f>
        <v>8313</v>
      </c>
      <c r="E9" s="7">
        <f>12307+(-8-36+500)</f>
        <v>12763</v>
      </c>
      <c r="G9" s="95">
        <v>1371</v>
      </c>
      <c r="H9" s="122"/>
      <c r="I9" s="122"/>
      <c r="J9" s="122"/>
      <c r="K9" s="122"/>
      <c r="L9" s="122"/>
      <c r="M9" s="122"/>
    </row>
    <row r="10" spans="1:13" x14ac:dyDescent="0.25">
      <c r="A10">
        <v>8</v>
      </c>
      <c r="B10" s="11">
        <v>43700</v>
      </c>
      <c r="C10" s="10">
        <v>8277</v>
      </c>
      <c r="D10" s="10">
        <f>10039-G10-(2000*0.125*0)</f>
        <v>8581</v>
      </c>
      <c r="E10" s="7">
        <f>12513+(-8-40+500)</f>
        <v>12965</v>
      </c>
      <c r="G10" s="95">
        <v>1458</v>
      </c>
      <c r="H10" s="122"/>
      <c r="I10" s="122"/>
      <c r="J10" s="122"/>
      <c r="K10" s="122"/>
      <c r="L10" s="122"/>
      <c r="M10" s="122"/>
    </row>
    <row r="11" spans="1:13" x14ac:dyDescent="0.25">
      <c r="A11">
        <v>9</v>
      </c>
      <c r="B11" s="11">
        <v>43726</v>
      </c>
      <c r="C11" s="10">
        <v>7467</v>
      </c>
      <c r="D11" s="10">
        <f>10718-G11-(2000*0.125*0)</f>
        <v>9093</v>
      </c>
      <c r="E11" s="7">
        <f>11300+(-7+500)</f>
        <v>11793</v>
      </c>
      <c r="G11" s="95">
        <v>1625</v>
      </c>
      <c r="H11" s="122"/>
      <c r="I11" s="122"/>
      <c r="J11" s="122"/>
      <c r="K11" s="122"/>
      <c r="L11" s="122"/>
      <c r="M11" s="122"/>
    </row>
    <row r="12" spans="1:13" x14ac:dyDescent="0.25">
      <c r="A12">
        <v>9</v>
      </c>
      <c r="B12" s="11">
        <v>43727</v>
      </c>
      <c r="C12" s="10">
        <v>7565</v>
      </c>
      <c r="D12" s="10">
        <f>10832-G12-(2000*0.125*0)</f>
        <v>9201</v>
      </c>
      <c r="E12" s="7">
        <f>11377+(-7+500)</f>
        <v>11870</v>
      </c>
      <c r="G12" s="95">
        <v>1631</v>
      </c>
      <c r="H12" s="122"/>
      <c r="I12" s="122"/>
      <c r="J12" s="122"/>
      <c r="K12" s="122"/>
      <c r="L12" s="122"/>
      <c r="M12" s="122"/>
    </row>
    <row r="13" spans="1:13" x14ac:dyDescent="0.25">
      <c r="A13">
        <v>9</v>
      </c>
      <c r="B13" s="11">
        <v>43728</v>
      </c>
      <c r="C13" s="10">
        <v>8031</v>
      </c>
      <c r="D13" s="10">
        <f>11093-G13-(2000*0.125*0)</f>
        <v>9494</v>
      </c>
      <c r="E13" s="7">
        <f>11572+(-7+500)</f>
        <v>12065</v>
      </c>
      <c r="G13" s="95">
        <v>1599</v>
      </c>
      <c r="H13" s="122"/>
      <c r="I13" s="122"/>
      <c r="J13" s="122"/>
      <c r="K13" s="122"/>
      <c r="L13" s="122"/>
      <c r="M13" s="122"/>
    </row>
    <row r="14" spans="1:13" x14ac:dyDescent="0.25">
      <c r="A14">
        <v>9</v>
      </c>
      <c r="B14" s="11">
        <v>43729</v>
      </c>
      <c r="C14" s="10">
        <v>8031</v>
      </c>
      <c r="D14" s="10">
        <f>11093-G14-(2000*0.125*0)</f>
        <v>9507</v>
      </c>
      <c r="E14" s="7">
        <f>11572+(-7+500)</f>
        <v>12065</v>
      </c>
      <c r="G14" s="95">
        <v>1586</v>
      </c>
      <c r="H14" s="122"/>
      <c r="I14" s="122"/>
      <c r="J14" s="122"/>
      <c r="K14" s="122"/>
      <c r="L14" s="122"/>
      <c r="M14" s="122"/>
    </row>
    <row r="15" spans="1:13" x14ac:dyDescent="0.25">
      <c r="A15">
        <v>9</v>
      </c>
      <c r="B15" s="11">
        <v>43735</v>
      </c>
      <c r="C15" s="10">
        <v>8753</v>
      </c>
      <c r="D15" s="10">
        <f>11183-G15-(2000*0.125*0)</f>
        <v>9597</v>
      </c>
      <c r="E15" s="7">
        <f>12317</f>
        <v>12317</v>
      </c>
      <c r="G15" s="95">
        <v>1586</v>
      </c>
      <c r="H15" s="122"/>
      <c r="I15" s="122"/>
      <c r="J15" s="122"/>
      <c r="K15" s="122"/>
      <c r="L15" s="122"/>
      <c r="M15" s="122"/>
    </row>
    <row r="16" spans="1:13" ht="13.5" customHeight="1" x14ac:dyDescent="0.25">
      <c r="A16">
        <v>9</v>
      </c>
      <c r="B16" s="11">
        <v>43738</v>
      </c>
      <c r="C16" s="10">
        <v>8434</v>
      </c>
      <c r="D16" s="10">
        <f>10626-G16-(2000*0.125*0)</f>
        <v>9112</v>
      </c>
      <c r="E16" s="7">
        <v>12143</v>
      </c>
      <c r="G16" s="95">
        <v>1514</v>
      </c>
      <c r="H16" s="122"/>
      <c r="I16" s="122"/>
      <c r="J16" s="122"/>
      <c r="K16" s="122"/>
      <c r="L16" s="122"/>
      <c r="M16" s="122"/>
    </row>
    <row r="17" spans="1:13" x14ac:dyDescent="0.25">
      <c r="A17">
        <v>10</v>
      </c>
      <c r="B17" s="11">
        <v>43739</v>
      </c>
      <c r="C17" s="10">
        <v>8581</v>
      </c>
      <c r="D17" s="10">
        <f>10517-G17-(2000*0.125*0)</f>
        <v>9010</v>
      </c>
      <c r="E17" s="7">
        <v>12055</v>
      </c>
      <c r="G17" s="95">
        <v>1507</v>
      </c>
      <c r="H17" s="122"/>
      <c r="I17" s="122"/>
      <c r="J17" s="122"/>
      <c r="K17" s="122"/>
      <c r="L17" s="122"/>
      <c r="M17" s="122"/>
    </row>
    <row r="18" spans="1:13" x14ac:dyDescent="0.25">
      <c r="A18">
        <v>10</v>
      </c>
      <c r="B18" s="11">
        <v>43740</v>
      </c>
      <c r="C18" s="10">
        <v>8872</v>
      </c>
      <c r="D18" s="10">
        <f>10503-G18-(2000*0.125*0)</f>
        <v>9079</v>
      </c>
      <c r="E18" s="7">
        <v>12039</v>
      </c>
      <c r="G18" s="95">
        <v>1424</v>
      </c>
      <c r="H18" s="122"/>
      <c r="I18" s="122"/>
      <c r="J18" s="122"/>
      <c r="K18" s="122"/>
      <c r="L18" s="122"/>
      <c r="M18" s="122"/>
    </row>
    <row r="19" spans="1:13" x14ac:dyDescent="0.25">
      <c r="A19">
        <v>10</v>
      </c>
      <c r="B19" s="11">
        <v>43741</v>
      </c>
      <c r="C19" s="10">
        <v>8872</v>
      </c>
      <c r="D19" s="10">
        <f>10503-G19-(2000*0.125*0)</f>
        <v>9015</v>
      </c>
      <c r="E19" s="7">
        <v>12039</v>
      </c>
      <c r="G19" s="95">
        <v>1488</v>
      </c>
      <c r="H19" s="122"/>
      <c r="I19" s="122"/>
      <c r="J19" s="122"/>
      <c r="K19" s="122"/>
      <c r="L19" s="122"/>
      <c r="M19" s="122"/>
    </row>
    <row r="20" spans="1:13" ht="15" customHeight="1" x14ac:dyDescent="0.25">
      <c r="A20">
        <v>10</v>
      </c>
      <c r="B20" s="11">
        <v>43742</v>
      </c>
      <c r="C20" s="10">
        <v>8573</v>
      </c>
      <c r="D20" s="10">
        <f>11037-G20-(2000*0.125*0)</f>
        <v>9549</v>
      </c>
      <c r="E20" s="7">
        <v>12215</v>
      </c>
      <c r="G20" s="95">
        <v>1488</v>
      </c>
      <c r="H20" s="122"/>
      <c r="I20" s="122"/>
      <c r="J20" s="122"/>
      <c r="K20" s="122"/>
      <c r="L20" s="122"/>
      <c r="M20" s="122"/>
    </row>
    <row r="21" spans="1:13" x14ac:dyDescent="0.25">
      <c r="A21">
        <v>10</v>
      </c>
      <c r="B21" s="11">
        <v>43745</v>
      </c>
      <c r="C21" s="10">
        <v>8325</v>
      </c>
      <c r="D21" s="10">
        <f>10569-G21-(2000*0.125*0)</f>
        <v>9077</v>
      </c>
      <c r="E21" s="7">
        <v>12158</v>
      </c>
      <c r="G21" s="95">
        <v>1492</v>
      </c>
      <c r="H21" s="122"/>
      <c r="I21" s="122"/>
      <c r="J21" s="122"/>
      <c r="K21" s="122"/>
      <c r="L21" s="122"/>
      <c r="M21" s="122"/>
    </row>
    <row r="22" spans="1:13" x14ac:dyDescent="0.25">
      <c r="A22">
        <v>10</v>
      </c>
      <c r="B22" s="11">
        <v>43746</v>
      </c>
      <c r="C22" s="10">
        <v>8453</v>
      </c>
      <c r="D22" s="10">
        <f>10287-G22-(2000*0.125*0)</f>
        <v>8792</v>
      </c>
      <c r="E22" s="7">
        <v>12054</v>
      </c>
      <c r="G22" s="95">
        <v>1495</v>
      </c>
      <c r="H22" s="122"/>
      <c r="I22" s="122"/>
      <c r="J22" s="122"/>
      <c r="K22" s="122"/>
      <c r="L22" s="122"/>
      <c r="M22" s="122"/>
    </row>
    <row r="23" spans="1:13" x14ac:dyDescent="0.25">
      <c r="A23">
        <v>10</v>
      </c>
      <c r="B23" s="11">
        <v>43747</v>
      </c>
      <c r="C23" s="10">
        <v>8369</v>
      </c>
      <c r="D23" s="10">
        <f>10419-G23-(2000*0.125*0)</f>
        <v>8904</v>
      </c>
      <c r="E23" s="7">
        <v>11960</v>
      </c>
      <c r="G23" s="95">
        <v>1515</v>
      </c>
      <c r="H23" s="122"/>
      <c r="I23" s="122"/>
      <c r="J23" s="122"/>
      <c r="K23" s="122"/>
      <c r="L23" s="122"/>
      <c r="M23" s="122"/>
    </row>
    <row r="24" spans="1:13" x14ac:dyDescent="0.25">
      <c r="A24">
        <v>10</v>
      </c>
      <c r="B24" s="11">
        <v>43748</v>
      </c>
      <c r="C24" s="10">
        <v>8524</v>
      </c>
      <c r="D24" s="10">
        <f>10440-G24-(2000*0.125*0)</f>
        <v>8975</v>
      </c>
      <c r="E24" s="7">
        <v>12119</v>
      </c>
      <c r="G24" s="95">
        <v>1465</v>
      </c>
      <c r="H24" s="122"/>
      <c r="I24" s="122"/>
      <c r="J24" s="122"/>
      <c r="K24" s="122"/>
      <c r="L24" s="122"/>
      <c r="M24" s="122"/>
    </row>
    <row r="25" spans="1:13" x14ac:dyDescent="0.25">
      <c r="A25">
        <v>10</v>
      </c>
      <c r="B25" s="11">
        <v>43749</v>
      </c>
      <c r="C25" s="10">
        <v>8585</v>
      </c>
      <c r="D25" s="10">
        <f>10380-G25-(2000*0.125*0)</f>
        <v>8912</v>
      </c>
      <c r="E25" s="7">
        <v>12286</v>
      </c>
      <c r="G25" s="95">
        <v>1468</v>
      </c>
      <c r="H25" s="122"/>
      <c r="I25" s="122"/>
      <c r="J25" s="122"/>
      <c r="K25" s="122"/>
      <c r="L25" s="122"/>
      <c r="M25" s="122"/>
    </row>
    <row r="26" spans="1:13" x14ac:dyDescent="0.25">
      <c r="A26">
        <v>10</v>
      </c>
      <c r="B26" s="11">
        <v>43752</v>
      </c>
      <c r="C26" s="10">
        <v>8688</v>
      </c>
      <c r="D26" s="10">
        <f>9920-G26-(2000*0.125*0)</f>
        <v>8496</v>
      </c>
      <c r="E26" s="7">
        <v>12008</v>
      </c>
      <c r="G26" s="95">
        <v>1424</v>
      </c>
      <c r="H26" s="122"/>
      <c r="I26" s="122"/>
      <c r="J26" s="122"/>
      <c r="K26" s="122"/>
      <c r="L26" s="122"/>
      <c r="M26" s="122"/>
    </row>
    <row r="27" spans="1:13" x14ac:dyDescent="0.25">
      <c r="A27">
        <v>10</v>
      </c>
      <c r="B27" s="11">
        <v>43753</v>
      </c>
      <c r="C27" s="10">
        <v>8737</v>
      </c>
      <c r="D27" s="10">
        <f>9969-G27-(2000*0.125*0)</f>
        <v>8497</v>
      </c>
      <c r="E27" s="7">
        <v>12085</v>
      </c>
      <c r="G27" s="95">
        <v>1472</v>
      </c>
      <c r="H27" s="122"/>
      <c r="I27" s="122"/>
      <c r="J27" s="122"/>
      <c r="K27" s="122"/>
      <c r="L27" s="122"/>
      <c r="M27" s="122"/>
    </row>
    <row r="28" spans="1:13" x14ac:dyDescent="0.25">
      <c r="A28">
        <v>10</v>
      </c>
      <c r="B28" s="11">
        <v>43755</v>
      </c>
      <c r="C28" s="10">
        <v>8722</v>
      </c>
      <c r="D28" s="10">
        <f>10028-G28-(2000*0.125*0)</f>
        <v>8612</v>
      </c>
      <c r="E28" s="7">
        <v>12202</v>
      </c>
      <c r="G28" s="95">
        <v>1416</v>
      </c>
      <c r="H28" s="122"/>
      <c r="I28" s="122"/>
      <c r="J28" s="122"/>
      <c r="K28" s="122"/>
      <c r="L28" s="122"/>
      <c r="M28" s="122"/>
    </row>
    <row r="29" spans="1:13" x14ac:dyDescent="0.25">
      <c r="A29">
        <v>10</v>
      </c>
      <c r="B29" s="11">
        <v>43756</v>
      </c>
      <c r="C29" s="10">
        <v>8505</v>
      </c>
      <c r="D29" s="10">
        <f>10252-G29-(2000*0.125*0)</f>
        <v>8880</v>
      </c>
      <c r="E29" s="7">
        <v>12568</v>
      </c>
      <c r="G29" s="95">
        <v>1372</v>
      </c>
      <c r="H29" s="122"/>
      <c r="I29" s="122"/>
      <c r="J29" s="122"/>
      <c r="K29" s="122"/>
      <c r="L29" s="122"/>
      <c r="M29" s="122"/>
    </row>
    <row r="30" spans="1:13" x14ac:dyDescent="0.25">
      <c r="A30">
        <v>10</v>
      </c>
      <c r="B30" s="11">
        <v>43759</v>
      </c>
      <c r="C30" s="10">
        <v>8562</v>
      </c>
      <c r="D30" s="10">
        <f>10286-G30-(2000*0.125*0)</f>
        <v>8944</v>
      </c>
      <c r="E30" s="7">
        <v>12675</v>
      </c>
      <c r="G30" s="95">
        <v>1342</v>
      </c>
      <c r="H30" s="122"/>
      <c r="I30" s="122"/>
      <c r="J30" s="122"/>
      <c r="K30" s="122"/>
      <c r="L30" s="122"/>
      <c r="M30" s="122"/>
    </row>
    <row r="31" spans="1:13" x14ac:dyDescent="0.25">
      <c r="A31">
        <v>10</v>
      </c>
      <c r="B31" s="11">
        <v>43760</v>
      </c>
      <c r="C31" s="10">
        <v>8562</v>
      </c>
      <c r="D31" s="10">
        <f>10286-G31-(2000*0.125*0)</f>
        <v>8943</v>
      </c>
      <c r="E31" s="7">
        <v>12675</v>
      </c>
      <c r="G31" s="95">
        <v>1343</v>
      </c>
      <c r="H31" s="122"/>
      <c r="I31" s="122"/>
      <c r="J31" s="122"/>
      <c r="K31" s="122"/>
      <c r="L31" s="122"/>
      <c r="M31" s="122"/>
    </row>
    <row r="32" spans="1:13" x14ac:dyDescent="0.25">
      <c r="A32">
        <v>10</v>
      </c>
      <c r="B32" s="11">
        <v>43761</v>
      </c>
      <c r="C32" s="10">
        <v>8442</v>
      </c>
      <c r="D32" s="10">
        <f>10036-G32-(2000*0.125*0)</f>
        <v>8693</v>
      </c>
      <c r="E32" s="7">
        <v>12677</v>
      </c>
      <c r="G32" s="95">
        <v>1343</v>
      </c>
      <c r="H32" s="122"/>
      <c r="I32" s="122"/>
      <c r="J32" s="122"/>
      <c r="K32" s="122"/>
      <c r="L32" s="122"/>
      <c r="M32" s="122"/>
    </row>
    <row r="33" spans="1:13" x14ac:dyDescent="0.25">
      <c r="A33">
        <v>10</v>
      </c>
      <c r="B33" s="11">
        <v>43762</v>
      </c>
      <c r="C33" s="10">
        <v>8501</v>
      </c>
      <c r="D33" s="10">
        <f>9968-G33-(2000*0.125*0)</f>
        <v>8604</v>
      </c>
      <c r="E33" s="7">
        <v>12690</v>
      </c>
      <c r="G33" s="95">
        <v>1364</v>
      </c>
      <c r="H33" s="122"/>
      <c r="I33" s="122"/>
      <c r="J33" s="122"/>
      <c r="K33" s="122"/>
      <c r="L33" s="122"/>
      <c r="M33" s="122"/>
    </row>
    <row r="34" spans="1:13" x14ac:dyDescent="0.25">
      <c r="A34">
        <v>10</v>
      </c>
      <c r="B34" s="11">
        <v>43766</v>
      </c>
      <c r="C34" s="10">
        <v>8384</v>
      </c>
      <c r="D34" s="10">
        <f>9299-G34-(2000*0.125*0)</f>
        <v>7888</v>
      </c>
      <c r="E34" s="7">
        <v>13037</v>
      </c>
      <c r="G34" s="95">
        <v>1411</v>
      </c>
      <c r="H34" s="122"/>
      <c r="I34" s="122"/>
      <c r="J34" s="122"/>
      <c r="K34" s="122"/>
      <c r="L34" s="122"/>
      <c r="M34" s="122"/>
    </row>
    <row r="35" spans="1:13" x14ac:dyDescent="0.25">
      <c r="A35">
        <v>10</v>
      </c>
      <c r="B35" s="11">
        <v>43767</v>
      </c>
      <c r="C35" s="10">
        <v>8296</v>
      </c>
      <c r="D35" s="10">
        <f>9496-G35-(2000*0.125*0)</f>
        <v>8140</v>
      </c>
      <c r="E35" s="7">
        <v>12801</v>
      </c>
      <c r="G35" s="95">
        <v>1356</v>
      </c>
      <c r="H35" s="122"/>
      <c r="I35" s="122"/>
      <c r="J35" s="122"/>
      <c r="K35" s="122"/>
      <c r="L35" s="122"/>
      <c r="M35" s="122"/>
    </row>
    <row r="36" spans="1:13" x14ac:dyDescent="0.25">
      <c r="A36">
        <v>10</v>
      </c>
      <c r="B36" s="11">
        <v>43768</v>
      </c>
      <c r="C36" s="10">
        <v>8296</v>
      </c>
      <c r="D36" s="10">
        <f>9496-G36-(2000*0.125*0)</f>
        <v>8140</v>
      </c>
      <c r="E36" s="7">
        <v>12801</v>
      </c>
      <c r="G36" s="95">
        <v>1356</v>
      </c>
      <c r="H36" s="122"/>
      <c r="I36" s="122"/>
      <c r="J36" s="122"/>
      <c r="K36" s="122"/>
      <c r="L36" s="122"/>
      <c r="M36" s="122"/>
    </row>
    <row r="37" spans="1:13" x14ac:dyDescent="0.25">
      <c r="A37">
        <v>11</v>
      </c>
      <c r="B37" s="11">
        <v>43773</v>
      </c>
      <c r="C37" s="10">
        <v>7445</v>
      </c>
      <c r="D37" s="10">
        <f>9145-G37-(2000*0.125*0)</f>
        <v>7789</v>
      </c>
      <c r="E37" s="7">
        <v>12652</v>
      </c>
      <c r="G37" s="95">
        <v>1356</v>
      </c>
      <c r="H37" s="122"/>
      <c r="I37" s="122"/>
      <c r="J37" s="122"/>
      <c r="K37" s="122"/>
      <c r="L37" s="122"/>
      <c r="M37" s="122"/>
    </row>
    <row r="38" spans="1:13" x14ac:dyDescent="0.25">
      <c r="A38">
        <v>11</v>
      </c>
      <c r="B38" s="11">
        <v>43775</v>
      </c>
      <c r="C38" s="10">
        <v>7515</v>
      </c>
      <c r="D38" s="10">
        <f>9099-G38-(2000*0.125*0)</f>
        <v>7704</v>
      </c>
      <c r="E38" s="7">
        <v>12799</v>
      </c>
      <c r="G38" s="95">
        <v>1395</v>
      </c>
      <c r="H38" s="122"/>
      <c r="I38" s="122"/>
      <c r="J38" s="122"/>
      <c r="K38" s="122"/>
      <c r="L38" s="122"/>
      <c r="M38" s="122"/>
    </row>
    <row r="39" spans="1:13" x14ac:dyDescent="0.25">
      <c r="A39">
        <v>11</v>
      </c>
      <c r="B39" s="11">
        <v>43776</v>
      </c>
      <c r="C39" s="10">
        <v>7756</v>
      </c>
      <c r="D39" s="10">
        <f>9334-G39-(2000*0.125*0)</f>
        <v>7956</v>
      </c>
      <c r="E39" s="7">
        <v>13085</v>
      </c>
      <c r="G39" s="95">
        <v>1378</v>
      </c>
      <c r="H39" s="122"/>
      <c r="I39" s="122"/>
      <c r="J39" s="122"/>
      <c r="K39" s="122"/>
      <c r="L39" s="122"/>
      <c r="M39" s="122"/>
    </row>
    <row r="40" spans="1:13" x14ac:dyDescent="0.25">
      <c r="A40">
        <v>11</v>
      </c>
      <c r="B40" s="11">
        <v>43780</v>
      </c>
      <c r="C40" s="10">
        <v>7299</v>
      </c>
      <c r="D40" s="10">
        <f>9133-G40-(2000*0.125*0)</f>
        <v>7666</v>
      </c>
      <c r="E40" s="7">
        <v>14114</v>
      </c>
      <c r="G40" s="95">
        <v>1467</v>
      </c>
      <c r="H40" s="122"/>
      <c r="I40" s="122"/>
      <c r="J40" s="122"/>
      <c r="K40" s="122"/>
      <c r="L40" s="122"/>
      <c r="M40" s="122"/>
    </row>
    <row r="41" spans="1:13" x14ac:dyDescent="0.25">
      <c r="A41">
        <v>11</v>
      </c>
      <c r="B41" s="11">
        <v>43782</v>
      </c>
      <c r="C41" s="10">
        <v>7327</v>
      </c>
      <c r="D41" s="10">
        <f>9022-G41-(2000*0.125*0)</f>
        <v>7646</v>
      </c>
      <c r="E41" s="7">
        <v>14359</v>
      </c>
      <c r="G41" s="95">
        <v>1376</v>
      </c>
      <c r="H41" s="122"/>
      <c r="I41" s="122"/>
      <c r="J41" s="122"/>
      <c r="K41" s="122"/>
      <c r="L41" s="122"/>
      <c r="M41" s="122"/>
    </row>
    <row r="42" spans="1:13" x14ac:dyDescent="0.25">
      <c r="A42">
        <v>11</v>
      </c>
      <c r="B42" s="11">
        <v>43783</v>
      </c>
      <c r="C42" s="10">
        <v>7345</v>
      </c>
      <c r="D42" s="10">
        <f>8977-G42-(2000*0.125*0)</f>
        <v>7584</v>
      </c>
      <c r="E42" s="7">
        <v>14506</v>
      </c>
      <c r="G42" s="95">
        <v>1393</v>
      </c>
      <c r="H42" s="122"/>
      <c r="I42" s="122"/>
      <c r="J42" s="122"/>
      <c r="K42" s="122"/>
      <c r="L42" s="122"/>
      <c r="M42" s="122"/>
    </row>
    <row r="43" spans="1:13" x14ac:dyDescent="0.25">
      <c r="A43">
        <v>11</v>
      </c>
      <c r="B43" s="11">
        <v>43784</v>
      </c>
      <c r="C43" s="10">
        <v>7415</v>
      </c>
      <c r="D43" s="10">
        <f>8984-G43-(2000*0.125*0)</f>
        <v>7624</v>
      </c>
      <c r="E43" s="7">
        <v>14436</v>
      </c>
      <c r="G43" s="95">
        <v>1360</v>
      </c>
      <c r="H43" s="122"/>
      <c r="I43" s="122"/>
      <c r="J43" s="122"/>
      <c r="K43" s="122"/>
      <c r="L43" s="122"/>
      <c r="M43" s="122"/>
    </row>
    <row r="44" spans="1:13" x14ac:dyDescent="0.25">
      <c r="A44">
        <v>11</v>
      </c>
      <c r="B44" s="11">
        <v>43787</v>
      </c>
      <c r="C44" s="10">
        <v>6915</v>
      </c>
      <c r="D44" s="10">
        <f>9052-G44-(2000*0.125*0)</f>
        <v>7639</v>
      </c>
      <c r="E44" s="7">
        <v>14550</v>
      </c>
      <c r="G44" s="95">
        <v>1413</v>
      </c>
      <c r="H44" s="122"/>
      <c r="I44" s="122"/>
      <c r="J44" s="122"/>
      <c r="K44" s="122"/>
      <c r="L44" s="122"/>
      <c r="M44" s="122"/>
    </row>
    <row r="45" spans="1:13" x14ac:dyDescent="0.25">
      <c r="A45">
        <v>11</v>
      </c>
      <c r="B45" s="11">
        <v>43790</v>
      </c>
      <c r="C45" s="10">
        <v>7132</v>
      </c>
      <c r="D45" s="10">
        <f>9210-G45-(2000*0.125*0)</f>
        <v>7888</v>
      </c>
      <c r="E45" s="7">
        <v>14372</v>
      </c>
      <c r="G45" s="95">
        <v>1322</v>
      </c>
      <c r="H45" s="122"/>
      <c r="I45" s="122"/>
      <c r="J45" s="122"/>
      <c r="K45" s="122"/>
      <c r="L45" s="122"/>
      <c r="M45" s="122"/>
    </row>
    <row r="46" spans="1:13" x14ac:dyDescent="0.25">
      <c r="A46">
        <v>11</v>
      </c>
      <c r="B46" s="11">
        <v>43791</v>
      </c>
      <c r="C46" s="10">
        <v>7246</v>
      </c>
      <c r="D46" s="10">
        <f>9315-G46-(2000*0.125*0)</f>
        <v>7993</v>
      </c>
      <c r="E46" s="7">
        <v>14259</v>
      </c>
      <c r="G46" s="95">
        <v>1322</v>
      </c>
      <c r="H46" s="122"/>
      <c r="I46" s="122"/>
      <c r="J46" s="122"/>
      <c r="K46" s="122"/>
      <c r="L46" s="122"/>
      <c r="M46" s="122"/>
    </row>
    <row r="47" spans="1:13" x14ac:dyDescent="0.25">
      <c r="A47">
        <v>11</v>
      </c>
      <c r="B47" s="11">
        <v>43794</v>
      </c>
      <c r="C47" s="10">
        <v>7205</v>
      </c>
      <c r="D47" s="10">
        <f>9086-G47-(2000*0.125*0)</f>
        <v>7764</v>
      </c>
      <c r="E47" s="7">
        <v>13268</v>
      </c>
      <c r="G47" s="95">
        <v>1322</v>
      </c>
      <c r="H47" s="122"/>
      <c r="I47" s="122"/>
      <c r="J47" s="122"/>
      <c r="K47" s="122"/>
      <c r="L47" s="122"/>
      <c r="M47" s="122"/>
    </row>
    <row r="48" spans="1:13" x14ac:dyDescent="0.25">
      <c r="A48">
        <v>11</v>
      </c>
      <c r="B48" s="11">
        <v>43795</v>
      </c>
      <c r="C48" s="10">
        <v>7180</v>
      </c>
      <c r="D48" s="10">
        <f>9075-G48-(2000*0.125*0)</f>
        <v>7789</v>
      </c>
      <c r="E48" s="7">
        <v>13083</v>
      </c>
      <c r="G48" s="95">
        <v>1286</v>
      </c>
      <c r="H48" s="122"/>
      <c r="I48" s="122"/>
      <c r="J48" s="122"/>
      <c r="K48" s="122"/>
      <c r="L48" s="122"/>
      <c r="M48" s="122"/>
    </row>
    <row r="49" spans="1:13" x14ac:dyDescent="0.25">
      <c r="A49">
        <v>11</v>
      </c>
      <c r="B49" s="11">
        <v>43799</v>
      </c>
      <c r="C49" s="10">
        <v>7226</v>
      </c>
      <c r="D49" s="10">
        <f>9497-G49-(2000*0.125*0)</f>
        <v>7983</v>
      </c>
      <c r="E49" s="7">
        <v>13316</v>
      </c>
      <c r="G49" s="95">
        <v>1514</v>
      </c>
      <c r="H49" s="122"/>
      <c r="I49" s="122"/>
      <c r="J49" s="122"/>
      <c r="K49" s="122"/>
      <c r="L49" s="122"/>
      <c r="M49" s="122"/>
    </row>
    <row r="50" spans="1:13" x14ac:dyDescent="0.25">
      <c r="A50">
        <v>12</v>
      </c>
      <c r="B50" s="11">
        <v>43802</v>
      </c>
      <c r="C50" s="10">
        <v>7171</v>
      </c>
      <c r="D50" s="10">
        <f>8848-G50-(2000*0.125*0)</f>
        <v>7337</v>
      </c>
      <c r="E50" s="7">
        <v>13276</v>
      </c>
      <c r="G50" s="95">
        <v>1511</v>
      </c>
      <c r="H50" s="122"/>
      <c r="I50" s="122"/>
      <c r="J50" s="122"/>
      <c r="K50" s="122"/>
      <c r="L50" s="122"/>
      <c r="M50" s="122"/>
    </row>
    <row r="51" spans="1:13" x14ac:dyDescent="0.25">
      <c r="A51">
        <v>12</v>
      </c>
      <c r="B51" s="11">
        <v>43803</v>
      </c>
      <c r="C51" s="10">
        <v>6883</v>
      </c>
      <c r="D51" s="10">
        <f>8775-G51-(2000*0.125*0)</f>
        <v>7283</v>
      </c>
      <c r="E51" s="7">
        <v>13509</v>
      </c>
      <c r="G51" s="95">
        <v>1492</v>
      </c>
      <c r="H51" s="122"/>
      <c r="I51" s="122"/>
      <c r="J51" s="122"/>
      <c r="K51" s="122"/>
      <c r="L51" s="122"/>
      <c r="M51" s="122"/>
    </row>
    <row r="52" spans="1:13" x14ac:dyDescent="0.25">
      <c r="A52">
        <v>12</v>
      </c>
      <c r="B52" s="11">
        <v>43804</v>
      </c>
      <c r="C52" s="10">
        <v>7054</v>
      </c>
      <c r="D52" s="10">
        <f>8671-G52-(2000*0.125*0)</f>
        <v>7179</v>
      </c>
      <c r="E52" s="7">
        <v>13331</v>
      </c>
      <c r="G52" s="95">
        <v>1492</v>
      </c>
      <c r="H52" s="122"/>
      <c r="I52" s="122"/>
      <c r="J52" s="122"/>
      <c r="K52" s="122"/>
      <c r="L52" s="122"/>
      <c r="M52" s="122"/>
    </row>
    <row r="53" spans="1:13" x14ac:dyDescent="0.25">
      <c r="A53">
        <v>12</v>
      </c>
      <c r="B53" s="11">
        <v>43805</v>
      </c>
      <c r="C53" s="10">
        <v>7118</v>
      </c>
      <c r="D53" s="10">
        <f>8944-G53-(2000*0.125*0)</f>
        <v>7469</v>
      </c>
      <c r="E53" s="7">
        <v>13473</v>
      </c>
      <c r="G53" s="95">
        <v>1475</v>
      </c>
      <c r="H53" s="122"/>
      <c r="I53" s="122"/>
      <c r="J53" s="122"/>
      <c r="K53" s="122"/>
      <c r="L53" s="122"/>
      <c r="M53" s="122"/>
    </row>
    <row r="54" spans="1:13" x14ac:dyDescent="0.25">
      <c r="A54">
        <v>12</v>
      </c>
      <c r="B54" s="11">
        <v>43808</v>
      </c>
      <c r="C54" s="10">
        <v>6645</v>
      </c>
      <c r="D54" s="10">
        <f>9065-G54-(2000*0.125*0)</f>
        <v>7578</v>
      </c>
      <c r="E54" s="7">
        <v>13303</v>
      </c>
      <c r="G54" s="95">
        <v>1487</v>
      </c>
      <c r="H54" s="122"/>
      <c r="I54" s="122"/>
      <c r="J54" s="122"/>
      <c r="K54" s="122"/>
      <c r="L54" s="122"/>
      <c r="M54" s="122"/>
    </row>
    <row r="55" spans="1:13" x14ac:dyDescent="0.25">
      <c r="A55">
        <v>12</v>
      </c>
      <c r="B55" s="11">
        <v>43809</v>
      </c>
      <c r="C55" s="10">
        <v>6626</v>
      </c>
      <c r="D55" s="10">
        <f>9277-G55-(2000*0.125*0)</f>
        <v>7790</v>
      </c>
      <c r="E55" s="7">
        <v>13255</v>
      </c>
      <c r="G55" s="95">
        <v>1487</v>
      </c>
      <c r="H55" s="122"/>
      <c r="I55" s="122"/>
      <c r="J55" s="122"/>
      <c r="K55" s="122"/>
      <c r="L55" s="122"/>
      <c r="M55" s="122"/>
    </row>
    <row r="56" spans="1:13" x14ac:dyDescent="0.25">
      <c r="A56">
        <v>12</v>
      </c>
      <c r="B56" s="11">
        <v>43811</v>
      </c>
      <c r="C56" s="10">
        <v>6711</v>
      </c>
      <c r="D56" s="10">
        <f>9345-G56-(2000*0.125*0)</f>
        <v>7882</v>
      </c>
      <c r="E56" s="7">
        <v>13156</v>
      </c>
      <c r="G56" s="95">
        <v>1463</v>
      </c>
      <c r="H56" s="122"/>
      <c r="I56" s="122"/>
      <c r="J56" s="122"/>
      <c r="K56" s="122"/>
      <c r="L56" s="122"/>
      <c r="M56" s="122"/>
    </row>
    <row r="57" spans="1:13" x14ac:dyDescent="0.25">
      <c r="A57">
        <v>12</v>
      </c>
      <c r="B57" s="11">
        <v>43815</v>
      </c>
      <c r="C57" s="10">
        <v>6998</v>
      </c>
      <c r="D57" s="10">
        <f>9633-G57-(2000*0.125*0)</f>
        <v>8233</v>
      </c>
      <c r="E57" s="7">
        <v>12432</v>
      </c>
      <c r="G57" s="95">
        <v>1400</v>
      </c>
      <c r="H57" s="122"/>
      <c r="I57" s="122"/>
      <c r="J57" s="122"/>
      <c r="K57" s="122"/>
      <c r="L57" s="122"/>
      <c r="M57" s="122"/>
    </row>
    <row r="58" spans="1:13" x14ac:dyDescent="0.25">
      <c r="A58">
        <v>12</v>
      </c>
      <c r="B58" s="11">
        <v>43816</v>
      </c>
      <c r="C58" s="10">
        <v>6343</v>
      </c>
      <c r="D58" s="10">
        <f>9394-G58-(2000*0.125*0)</f>
        <v>8000</v>
      </c>
      <c r="E58" s="7">
        <v>12314</v>
      </c>
      <c r="G58" s="95">
        <v>1394</v>
      </c>
      <c r="H58" s="122"/>
      <c r="I58" s="122"/>
      <c r="J58" s="122"/>
      <c r="K58" s="122"/>
      <c r="L58" s="122"/>
      <c r="M58" s="122"/>
    </row>
    <row r="59" spans="1:13" x14ac:dyDescent="0.25">
      <c r="A59">
        <v>12</v>
      </c>
      <c r="B59" s="11">
        <v>43818</v>
      </c>
      <c r="C59" s="10">
        <v>6530</v>
      </c>
      <c r="D59" s="10">
        <f>9696-G59-(2000*0.125*0)</f>
        <v>8259</v>
      </c>
      <c r="E59" s="7">
        <v>12656</v>
      </c>
      <c r="G59" s="95">
        <v>1437</v>
      </c>
      <c r="H59" s="122"/>
      <c r="I59" s="122"/>
      <c r="J59" s="122"/>
      <c r="K59" s="122"/>
      <c r="L59" s="122"/>
      <c r="M59" s="122"/>
    </row>
    <row r="60" spans="1:13" x14ac:dyDescent="0.25">
      <c r="A60">
        <v>12</v>
      </c>
      <c r="B60" s="11">
        <v>43819</v>
      </c>
      <c r="C60" s="10">
        <v>6643</v>
      </c>
      <c r="D60" s="10">
        <f>9552-G60-(2000*0.125*0)</f>
        <v>8112</v>
      </c>
      <c r="E60" s="7">
        <v>13183</v>
      </c>
      <c r="G60" s="95">
        <v>1440</v>
      </c>
      <c r="H60" s="122"/>
      <c r="I60" s="122"/>
      <c r="J60" s="122"/>
      <c r="K60" s="122"/>
      <c r="L60" s="122"/>
      <c r="M60" s="122"/>
    </row>
    <row r="61" spans="1:13" x14ac:dyDescent="0.25">
      <c r="A61">
        <v>12</v>
      </c>
      <c r="B61" s="11">
        <v>43822</v>
      </c>
      <c r="C61" s="10">
        <v>6598</v>
      </c>
      <c r="D61" s="10">
        <f>9684-G61-(2000*0.125*0)</f>
        <v>8256</v>
      </c>
      <c r="E61" s="7">
        <v>12920</v>
      </c>
      <c r="G61" s="95">
        <v>1428</v>
      </c>
      <c r="H61" s="122"/>
      <c r="I61" s="122"/>
      <c r="J61" s="122"/>
      <c r="K61" s="122"/>
      <c r="L61" s="122"/>
      <c r="M61" s="122"/>
    </row>
    <row r="62" spans="1:13" x14ac:dyDescent="0.25">
      <c r="A62">
        <v>12</v>
      </c>
      <c r="B62" s="11">
        <v>43825</v>
      </c>
      <c r="C62" s="10">
        <v>6638</v>
      </c>
      <c r="D62" s="10">
        <f>9421-G62-(2000*0.125*0)</f>
        <v>8019</v>
      </c>
      <c r="E62" s="7">
        <v>12424</v>
      </c>
      <c r="G62" s="95">
        <v>1402</v>
      </c>
      <c r="H62" s="122"/>
      <c r="I62" s="122"/>
      <c r="J62" s="122"/>
      <c r="K62" s="122"/>
      <c r="L62" s="122"/>
      <c r="M62" s="122"/>
    </row>
    <row r="63" spans="1:13" x14ac:dyDescent="0.25">
      <c r="A63">
        <v>12</v>
      </c>
      <c r="B63" s="11">
        <v>43829</v>
      </c>
      <c r="C63" s="10">
        <v>6408</v>
      </c>
      <c r="D63" s="10">
        <f>9563-G63-(2000*0.125*0)</f>
        <v>8161</v>
      </c>
      <c r="E63" s="7">
        <v>12578</v>
      </c>
      <c r="G63" s="95">
        <v>1402</v>
      </c>
      <c r="H63" s="122"/>
      <c r="I63" s="122"/>
      <c r="J63" s="122"/>
      <c r="K63" s="122"/>
      <c r="L63" s="122"/>
      <c r="M63" s="122"/>
    </row>
    <row r="64" spans="1:13" x14ac:dyDescent="0.25">
      <c r="A64">
        <v>1</v>
      </c>
      <c r="B64" s="11">
        <v>43832</v>
      </c>
      <c r="C64" s="10">
        <v>5936</v>
      </c>
      <c r="D64" s="10">
        <f>9800-G64-(2000*0.125*0)</f>
        <v>8409</v>
      </c>
      <c r="E64" s="7">
        <v>12289</v>
      </c>
      <c r="G64" s="95">
        <v>1391</v>
      </c>
      <c r="H64" s="122"/>
      <c r="I64" s="122"/>
      <c r="J64" s="122"/>
      <c r="K64" s="122"/>
      <c r="L64" s="122"/>
      <c r="M64" s="122"/>
    </row>
    <row r="65" spans="1:13" x14ac:dyDescent="0.25">
      <c r="A65">
        <v>1</v>
      </c>
      <c r="B65" s="11">
        <v>43833</v>
      </c>
      <c r="C65" s="10">
        <v>5610</v>
      </c>
      <c r="D65" s="10">
        <f>9800-G65-(2000*0.125*0)</f>
        <v>8409</v>
      </c>
      <c r="E65" s="7">
        <v>12203</v>
      </c>
      <c r="G65" s="95">
        <v>1391</v>
      </c>
      <c r="H65" s="122"/>
      <c r="I65" s="122"/>
      <c r="J65" s="122"/>
      <c r="K65" s="122"/>
      <c r="L65" s="122"/>
      <c r="M65" s="122"/>
    </row>
    <row r="66" spans="1:13" x14ac:dyDescent="0.25">
      <c r="A66">
        <v>1</v>
      </c>
      <c r="B66" s="11">
        <v>43836</v>
      </c>
      <c r="C66" s="10">
        <v>5139</v>
      </c>
      <c r="D66" s="10">
        <f>9924-G66-(2000*0.125*0)</f>
        <v>8539</v>
      </c>
      <c r="E66" s="7">
        <v>12370</v>
      </c>
      <c r="G66" s="95">
        <v>1385</v>
      </c>
      <c r="H66" s="122"/>
      <c r="I66" s="122"/>
      <c r="J66" s="122"/>
      <c r="K66" s="122"/>
      <c r="L66" s="122"/>
      <c r="M66" s="122"/>
    </row>
    <row r="67" spans="1:13" x14ac:dyDescent="0.25">
      <c r="A67">
        <v>1</v>
      </c>
      <c r="B67" s="11">
        <v>43837</v>
      </c>
      <c r="C67" s="10">
        <v>5139</v>
      </c>
      <c r="D67" s="10">
        <f>10307-G67-(2000*0.125*0)</f>
        <v>8916</v>
      </c>
      <c r="E67" s="7">
        <v>12438</v>
      </c>
      <c r="G67" s="95">
        <v>1391</v>
      </c>
      <c r="H67" s="122"/>
      <c r="I67" s="122"/>
      <c r="J67" s="122"/>
      <c r="K67" s="122"/>
      <c r="L67" s="122"/>
      <c r="M67" s="122"/>
    </row>
    <row r="68" spans="1:13" x14ac:dyDescent="0.25">
      <c r="A68">
        <v>1</v>
      </c>
      <c r="B68" s="11">
        <v>43838</v>
      </c>
      <c r="C68" s="10">
        <v>4833</v>
      </c>
      <c r="D68" s="10">
        <f>10438-G68-(2000*0.125*0)</f>
        <v>9057</v>
      </c>
      <c r="E68" s="7">
        <v>12632</v>
      </c>
      <c r="G68" s="95">
        <v>1381</v>
      </c>
      <c r="H68" s="122"/>
      <c r="I68" s="122"/>
      <c r="J68" s="122"/>
      <c r="K68" s="122"/>
      <c r="L68" s="122"/>
      <c r="M68" s="122"/>
    </row>
    <row r="69" spans="1:13" x14ac:dyDescent="0.25">
      <c r="A69">
        <v>1</v>
      </c>
      <c r="B69" s="11">
        <v>43839</v>
      </c>
      <c r="C69" s="10">
        <v>4151</v>
      </c>
      <c r="D69" s="10">
        <f>10221-G69-(2000*0.125*0)</f>
        <v>8848</v>
      </c>
      <c r="E69" s="7">
        <v>12872</v>
      </c>
      <c r="G69" s="95">
        <v>1373</v>
      </c>
      <c r="H69" s="122"/>
      <c r="I69" s="122"/>
      <c r="J69" s="122"/>
      <c r="K69" s="122"/>
      <c r="L69" s="122"/>
      <c r="M69" s="122"/>
    </row>
    <row r="70" spans="1:13" x14ac:dyDescent="0.25">
      <c r="A70">
        <v>1</v>
      </c>
      <c r="B70" s="11">
        <v>43843</v>
      </c>
      <c r="C70" s="10">
        <v>4332</v>
      </c>
      <c r="D70" s="10">
        <f>10358-G70-(2000*0.125*0)</f>
        <v>8823</v>
      </c>
      <c r="E70" s="7">
        <v>13096</v>
      </c>
      <c r="G70" s="95">
        <v>1535</v>
      </c>
      <c r="H70" s="122"/>
      <c r="I70" s="122"/>
      <c r="J70" s="122"/>
      <c r="K70" s="122"/>
      <c r="L70" s="122"/>
      <c r="M70" s="122"/>
    </row>
    <row r="71" spans="1:13" x14ac:dyDescent="0.25">
      <c r="A71">
        <v>1</v>
      </c>
      <c r="B71" s="11">
        <v>43847</v>
      </c>
      <c r="C71" s="10">
        <v>4737</v>
      </c>
      <c r="D71" s="10">
        <f>10715-G71-(2000*0.125*0)</f>
        <v>9111</v>
      </c>
      <c r="E71" s="7">
        <v>13213</v>
      </c>
      <c r="G71" s="95">
        <v>1604</v>
      </c>
      <c r="H71" s="122"/>
      <c r="I71" s="122"/>
      <c r="J71" s="122"/>
      <c r="K71" s="122"/>
      <c r="L71" s="122"/>
      <c r="M71" s="122"/>
    </row>
    <row r="72" spans="1:13" x14ac:dyDescent="0.25">
      <c r="A72">
        <v>1</v>
      </c>
      <c r="B72" s="11">
        <v>43850</v>
      </c>
      <c r="C72" s="10">
        <v>4541</v>
      </c>
      <c r="D72" s="10">
        <f>10740-G72-(2000*0.125*0)</f>
        <v>9135</v>
      </c>
      <c r="E72" s="7">
        <v>12755</v>
      </c>
      <c r="G72" s="95">
        <v>1605</v>
      </c>
      <c r="H72" s="122"/>
      <c r="I72" s="122"/>
      <c r="J72" s="122"/>
      <c r="K72" s="122"/>
      <c r="L72" s="122"/>
      <c r="M72" s="122"/>
    </row>
    <row r="73" spans="1:13" x14ac:dyDescent="0.25">
      <c r="A73">
        <v>1</v>
      </c>
      <c r="B73" s="11">
        <v>43852</v>
      </c>
      <c r="C73" s="10">
        <v>4580</v>
      </c>
      <c r="D73" s="10">
        <f>10868-G73-(2000*0.125*0)</f>
        <v>9252</v>
      </c>
      <c r="E73" s="7">
        <v>12927</v>
      </c>
      <c r="G73" s="95">
        <v>1616</v>
      </c>
      <c r="H73" s="122"/>
      <c r="I73" s="122"/>
      <c r="J73" s="122"/>
      <c r="K73" s="122"/>
      <c r="L73" s="122"/>
      <c r="M73" s="122"/>
    </row>
    <row r="74" spans="1:13" x14ac:dyDescent="0.25">
      <c r="A74">
        <v>1</v>
      </c>
      <c r="B74" s="11">
        <v>43853</v>
      </c>
      <c r="C74" s="10">
        <v>4785</v>
      </c>
      <c r="D74" s="10">
        <f>10815-G74-(2000*0.125*0)</f>
        <v>9200</v>
      </c>
      <c r="E74" s="7">
        <v>13255</v>
      </c>
      <c r="G74" s="95">
        <v>1615</v>
      </c>
      <c r="H74" s="122"/>
      <c r="I74" s="122"/>
      <c r="J74" s="122"/>
      <c r="K74" s="122"/>
      <c r="L74" s="122"/>
      <c r="M74" s="122"/>
    </row>
    <row r="75" spans="1:13" x14ac:dyDescent="0.25">
      <c r="A75">
        <v>1</v>
      </c>
      <c r="B75" s="11">
        <v>43857</v>
      </c>
      <c r="C75" s="10">
        <v>4606</v>
      </c>
      <c r="D75" s="10">
        <f>10285-G75-(2000*0.125*0)</f>
        <v>8607</v>
      </c>
      <c r="E75" s="7">
        <v>13184</v>
      </c>
      <c r="G75" s="95">
        <v>1678</v>
      </c>
      <c r="H75" s="122"/>
      <c r="I75" s="122"/>
      <c r="J75" s="122"/>
      <c r="K75" s="122"/>
      <c r="L75" s="122"/>
      <c r="M75" s="122"/>
    </row>
    <row r="76" spans="1:13" x14ac:dyDescent="0.25">
      <c r="A76">
        <v>1</v>
      </c>
      <c r="B76" s="11">
        <v>43859</v>
      </c>
      <c r="C76" s="10">
        <v>4567</v>
      </c>
      <c r="D76" s="10">
        <f>10655-G76-(2000*0.125*0)</f>
        <v>8985</v>
      </c>
      <c r="E76" s="7">
        <v>13135</v>
      </c>
      <c r="G76" s="95">
        <v>1670</v>
      </c>
      <c r="H76" s="122"/>
      <c r="I76" s="122"/>
      <c r="J76" s="122"/>
      <c r="K76" s="122"/>
      <c r="L76" s="122"/>
      <c r="M76" s="122"/>
    </row>
    <row r="77" spans="1:13" x14ac:dyDescent="0.25">
      <c r="A77">
        <v>1</v>
      </c>
      <c r="B77" s="11">
        <v>43860</v>
      </c>
      <c r="C77" s="10">
        <v>4569</v>
      </c>
      <c r="D77" s="10">
        <f>10684-G77-(2000*0.125*0)</f>
        <v>9005</v>
      </c>
      <c r="E77" s="7">
        <v>13055</v>
      </c>
      <c r="G77" s="95">
        <v>1679</v>
      </c>
      <c r="H77" s="122"/>
      <c r="I77" s="122"/>
      <c r="J77" s="122"/>
      <c r="K77" s="122"/>
      <c r="L77" s="122"/>
      <c r="M77" s="122"/>
    </row>
    <row r="78" spans="1:13" x14ac:dyDescent="0.25">
      <c r="A78">
        <v>2</v>
      </c>
      <c r="B78" s="11">
        <v>43864</v>
      </c>
      <c r="C78" s="10">
        <v>4804</v>
      </c>
      <c r="D78" s="10">
        <f>9925-G78</f>
        <v>9182</v>
      </c>
      <c r="E78" s="7">
        <v>14126</v>
      </c>
      <c r="G78" s="95">
        <v>743</v>
      </c>
      <c r="H78" s="122"/>
      <c r="I78" s="122"/>
      <c r="J78" s="122"/>
      <c r="K78" s="122"/>
      <c r="L78" s="122"/>
      <c r="M78" s="122"/>
    </row>
    <row r="79" spans="1:13" x14ac:dyDescent="0.25">
      <c r="A79">
        <v>2</v>
      </c>
      <c r="B79" s="11">
        <v>43867</v>
      </c>
      <c r="C79" s="10">
        <v>4781</v>
      </c>
      <c r="D79" s="10">
        <f>9736-G79</f>
        <v>8899</v>
      </c>
      <c r="E79" s="7">
        <v>14347</v>
      </c>
      <c r="G79" s="95">
        <v>837</v>
      </c>
      <c r="H79" s="122"/>
      <c r="I79" s="122"/>
      <c r="J79" s="122"/>
      <c r="K79" s="122"/>
      <c r="L79" s="122"/>
      <c r="M79" s="122"/>
    </row>
    <row r="80" spans="1:13" x14ac:dyDescent="0.25">
      <c r="A80">
        <v>2</v>
      </c>
      <c r="B80" s="11">
        <v>43868</v>
      </c>
      <c r="C80" s="10">
        <v>4916</v>
      </c>
      <c r="D80" s="10">
        <f>9769-G80</f>
        <v>8811</v>
      </c>
      <c r="E80" s="7">
        <v>14984</v>
      </c>
      <c r="G80" s="95">
        <v>958</v>
      </c>
      <c r="H80" s="122"/>
      <c r="I80" s="122"/>
      <c r="J80" s="122"/>
      <c r="K80" s="122"/>
      <c r="L80" s="122"/>
      <c r="M80" s="122"/>
    </row>
    <row r="81" spans="1:13" x14ac:dyDescent="0.25">
      <c r="A81">
        <v>2</v>
      </c>
      <c r="B81" s="11">
        <v>43871</v>
      </c>
      <c r="C81" s="10">
        <v>4931</v>
      </c>
      <c r="D81" s="10">
        <f>9722-G81</f>
        <v>8837</v>
      </c>
      <c r="E81" s="7">
        <v>15545</v>
      </c>
      <c r="G81" s="95">
        <v>885</v>
      </c>
      <c r="H81" s="122"/>
      <c r="I81" s="122"/>
      <c r="J81" s="122"/>
      <c r="K81" s="122"/>
      <c r="L81" s="122"/>
      <c r="M81" s="122"/>
    </row>
    <row r="82" spans="1:13" x14ac:dyDescent="0.25">
      <c r="A82">
        <v>2</v>
      </c>
      <c r="B82" s="11">
        <v>43872</v>
      </c>
      <c r="C82" s="10">
        <v>4931</v>
      </c>
      <c r="D82" s="10">
        <f>9669-G82</f>
        <v>8611</v>
      </c>
      <c r="E82" s="7">
        <v>15545</v>
      </c>
      <c r="G82" s="95">
        <v>1058</v>
      </c>
      <c r="H82" s="122"/>
      <c r="I82" s="122"/>
      <c r="J82" s="122"/>
      <c r="K82" s="122"/>
      <c r="L82" s="122"/>
      <c r="M82" s="122"/>
    </row>
    <row r="83" spans="1:13" x14ac:dyDescent="0.25">
      <c r="A83">
        <v>2</v>
      </c>
      <c r="B83" s="11">
        <v>43873</v>
      </c>
      <c r="C83" s="10">
        <v>4980</v>
      </c>
      <c r="D83" s="10">
        <f>10061-G83</f>
        <v>8993</v>
      </c>
      <c r="E83" s="7">
        <v>15977</v>
      </c>
      <c r="G83" s="95">
        <v>1068</v>
      </c>
      <c r="H83" s="122"/>
      <c r="I83" s="122"/>
      <c r="J83" s="122"/>
      <c r="K83" s="122"/>
      <c r="L83" s="122"/>
      <c r="M83" s="122"/>
    </row>
    <row r="84" spans="1:13" x14ac:dyDescent="0.25">
      <c r="A84">
        <v>2</v>
      </c>
      <c r="B84" s="96">
        <v>43874</v>
      </c>
      <c r="C84" s="97">
        <v>5115</v>
      </c>
      <c r="D84" s="97">
        <f>10429-G84</f>
        <v>9420</v>
      </c>
      <c r="E84" s="98">
        <v>16404</v>
      </c>
      <c r="G84" s="99">
        <v>1009</v>
      </c>
      <c r="H84" s="122"/>
      <c r="I84" s="122"/>
      <c r="J84" s="122"/>
      <c r="K84" s="122"/>
      <c r="L84" s="122"/>
      <c r="M84" s="122"/>
    </row>
    <row r="85" spans="1:13" x14ac:dyDescent="0.25">
      <c r="A85">
        <v>2</v>
      </c>
      <c r="B85" s="96">
        <v>43875</v>
      </c>
      <c r="C85" s="97">
        <v>4778</v>
      </c>
      <c r="D85" s="97">
        <f>10493-G85</f>
        <v>9493.32</v>
      </c>
      <c r="E85" s="98">
        <v>16795</v>
      </c>
      <c r="G85" s="99">
        <v>999.68</v>
      </c>
      <c r="H85" s="122"/>
      <c r="I85" s="122"/>
      <c r="J85" s="122"/>
      <c r="K85" s="122"/>
      <c r="L85" s="122"/>
      <c r="M85" s="122"/>
    </row>
    <row r="86" spans="1:13" x14ac:dyDescent="0.25">
      <c r="A86">
        <v>2</v>
      </c>
      <c r="B86" s="96">
        <v>43878</v>
      </c>
      <c r="C86" s="97">
        <v>4752</v>
      </c>
      <c r="D86" s="97">
        <f>9640-G86</f>
        <v>8796</v>
      </c>
      <c r="E86" s="98">
        <v>17062</v>
      </c>
      <c r="G86" s="99">
        <v>844</v>
      </c>
      <c r="H86" s="122"/>
      <c r="I86" s="122"/>
      <c r="J86" s="122"/>
      <c r="K86" s="122"/>
      <c r="L86" s="122"/>
      <c r="M86" s="122"/>
    </row>
    <row r="87" spans="1:13" x14ac:dyDescent="0.25">
      <c r="A87">
        <v>2</v>
      </c>
      <c r="B87" s="96">
        <v>43879</v>
      </c>
      <c r="C87" s="97">
        <v>4752</v>
      </c>
      <c r="D87" s="97">
        <f>9637-G87</f>
        <v>8743</v>
      </c>
      <c r="E87" s="98">
        <v>17131</v>
      </c>
      <c r="G87" s="99">
        <v>894</v>
      </c>
      <c r="H87" s="122"/>
      <c r="I87" s="122"/>
      <c r="J87" s="122"/>
      <c r="K87" s="122"/>
      <c r="L87" s="122"/>
      <c r="M87" s="122"/>
    </row>
    <row r="88" spans="1:13" x14ac:dyDescent="0.25">
      <c r="A88">
        <v>2</v>
      </c>
      <c r="B88" s="96">
        <v>43880</v>
      </c>
      <c r="C88" s="97">
        <v>4869</v>
      </c>
      <c r="D88" s="97">
        <f>9745-G88</f>
        <v>8884</v>
      </c>
      <c r="E88" s="98">
        <v>17152</v>
      </c>
      <c r="G88" s="99">
        <v>861</v>
      </c>
      <c r="H88" s="122"/>
      <c r="I88" s="122"/>
      <c r="J88" s="122"/>
      <c r="K88" s="122"/>
      <c r="L88" s="122"/>
      <c r="M88" s="122"/>
    </row>
    <row r="89" spans="1:13" x14ac:dyDescent="0.25">
      <c r="A89">
        <v>2</v>
      </c>
      <c r="B89" s="96">
        <v>43881</v>
      </c>
      <c r="C89" s="97">
        <v>4876</v>
      </c>
      <c r="D89" s="97">
        <f>9968-G89</f>
        <v>9155</v>
      </c>
      <c r="E89" s="98">
        <v>17492</v>
      </c>
      <c r="G89" s="99">
        <v>813</v>
      </c>
      <c r="H89" s="122"/>
      <c r="I89" s="122"/>
      <c r="J89" s="122"/>
      <c r="K89" s="122"/>
      <c r="L89" s="122"/>
      <c r="M89" s="122"/>
    </row>
    <row r="90" spans="1:13" x14ac:dyDescent="0.25">
      <c r="A90">
        <v>2</v>
      </c>
      <c r="B90" s="96">
        <v>43885</v>
      </c>
      <c r="C90" s="97">
        <v>4796</v>
      </c>
      <c r="D90" s="97">
        <f>9103-G90</f>
        <v>8340</v>
      </c>
      <c r="E90" s="98">
        <v>17283</v>
      </c>
      <c r="G90" s="99">
        <v>763</v>
      </c>
      <c r="H90" s="122"/>
      <c r="I90" s="122"/>
      <c r="J90" s="122"/>
      <c r="K90" s="122"/>
      <c r="L90" s="122"/>
      <c r="M90" s="122"/>
    </row>
    <row r="91" spans="1:13" x14ac:dyDescent="0.25">
      <c r="A91">
        <v>2</v>
      </c>
      <c r="B91" s="96">
        <v>43886</v>
      </c>
      <c r="C91" s="97">
        <v>4796</v>
      </c>
      <c r="D91" s="97">
        <f>9097-G91</f>
        <v>8255</v>
      </c>
      <c r="E91" s="98">
        <v>17383</v>
      </c>
      <c r="G91" s="99">
        <v>842</v>
      </c>
      <c r="H91" s="122"/>
      <c r="I91" s="122"/>
      <c r="J91" s="122"/>
      <c r="K91" s="122"/>
      <c r="L91" s="122"/>
      <c r="M91" s="122"/>
    </row>
    <row r="92" spans="1:13" x14ac:dyDescent="0.25">
      <c r="A92">
        <v>2</v>
      </c>
      <c r="B92" s="96">
        <v>43887</v>
      </c>
      <c r="C92" s="97">
        <v>4776</v>
      </c>
      <c r="D92" s="97">
        <f>9253-G92</f>
        <v>8554</v>
      </c>
      <c r="E92" s="98">
        <v>17443</v>
      </c>
      <c r="G92" s="99">
        <v>699</v>
      </c>
      <c r="H92" s="122"/>
      <c r="I92" s="122"/>
      <c r="J92" s="122"/>
      <c r="K92" s="122"/>
      <c r="L92" s="122"/>
      <c r="M92" s="122"/>
    </row>
    <row r="93" spans="1:13" x14ac:dyDescent="0.25">
      <c r="A93">
        <v>2</v>
      </c>
      <c r="B93" s="96">
        <v>43888</v>
      </c>
      <c r="C93" s="97">
        <v>4918</v>
      </c>
      <c r="D93" s="97">
        <f>9097-G93</f>
        <v>8351</v>
      </c>
      <c r="E93" s="98">
        <v>17562</v>
      </c>
      <c r="G93" s="99">
        <v>746</v>
      </c>
      <c r="H93" s="122"/>
      <c r="I93" s="122"/>
      <c r="J93" s="122"/>
      <c r="K93" s="122"/>
      <c r="L93" s="122"/>
      <c r="M93" s="122"/>
    </row>
    <row r="94" spans="1:13" x14ac:dyDescent="0.25">
      <c r="A94">
        <v>2</v>
      </c>
      <c r="B94" s="96">
        <v>43889</v>
      </c>
      <c r="C94" s="97">
        <v>5049</v>
      </c>
      <c r="D94" s="97">
        <f>9190-G94</f>
        <v>8477</v>
      </c>
      <c r="E94" s="98">
        <v>17812</v>
      </c>
      <c r="G94" s="99">
        <v>713</v>
      </c>
      <c r="H94" s="122"/>
      <c r="I94" s="122"/>
      <c r="J94" s="122"/>
      <c r="K94" s="122"/>
      <c r="L94" s="122"/>
      <c r="M94" s="122"/>
    </row>
    <row r="95" spans="1:13" x14ac:dyDescent="0.25">
      <c r="A95">
        <v>3</v>
      </c>
      <c r="B95" s="96">
        <v>43892</v>
      </c>
      <c r="C95" s="97">
        <v>4381</v>
      </c>
      <c r="D95" s="97">
        <f>8464-G95</f>
        <v>7839</v>
      </c>
      <c r="E95" s="98">
        <v>17970</v>
      </c>
      <c r="G95" s="99">
        <v>625</v>
      </c>
      <c r="H95" s="122"/>
      <c r="I95" s="122"/>
      <c r="J95" s="122"/>
      <c r="K95" s="122"/>
      <c r="L95" s="122"/>
      <c r="M95" s="122"/>
    </row>
    <row r="96" spans="1:13" x14ac:dyDescent="0.25">
      <c r="A96">
        <v>3</v>
      </c>
      <c r="B96" s="96">
        <v>43893</v>
      </c>
      <c r="C96" s="97">
        <v>4381</v>
      </c>
      <c r="D96" s="97">
        <f>8414-G96</f>
        <v>7739</v>
      </c>
      <c r="E96" s="98">
        <v>17928</v>
      </c>
      <c r="G96" s="99">
        <v>675</v>
      </c>
      <c r="H96" s="122"/>
      <c r="I96" s="122"/>
      <c r="J96" s="122"/>
      <c r="K96" s="122"/>
      <c r="L96" s="122"/>
      <c r="M96" s="122"/>
    </row>
    <row r="97" spans="1:13" x14ac:dyDescent="0.25">
      <c r="A97">
        <v>3</v>
      </c>
      <c r="B97" s="96">
        <v>43894</v>
      </c>
      <c r="C97" s="97">
        <v>4493</v>
      </c>
      <c r="D97" s="97">
        <f>9053-G97</f>
        <v>8327</v>
      </c>
      <c r="E97" s="98">
        <v>18040</v>
      </c>
      <c r="G97" s="99">
        <v>726</v>
      </c>
      <c r="H97" s="122"/>
      <c r="I97" s="122"/>
      <c r="J97" s="122"/>
      <c r="K97" s="122"/>
      <c r="L97" s="122"/>
      <c r="M97" s="122"/>
    </row>
    <row r="98" spans="1:13" x14ac:dyDescent="0.25">
      <c r="A98">
        <v>3</v>
      </c>
      <c r="B98" s="96">
        <v>43895</v>
      </c>
      <c r="C98" s="97">
        <v>4603</v>
      </c>
      <c r="D98" s="97">
        <f>9071-G98</f>
        <v>8263</v>
      </c>
      <c r="E98" s="98">
        <v>17739</v>
      </c>
      <c r="G98" s="99">
        <v>808</v>
      </c>
      <c r="H98" s="122"/>
      <c r="I98" s="122"/>
      <c r="J98" s="122"/>
      <c r="K98" s="122"/>
      <c r="L98" s="122"/>
      <c r="M98" s="122"/>
    </row>
    <row r="99" spans="1:13" x14ac:dyDescent="0.25">
      <c r="A99">
        <v>3</v>
      </c>
      <c r="B99" s="96">
        <v>43896</v>
      </c>
      <c r="C99" s="97">
        <v>4735</v>
      </c>
      <c r="D99" s="97">
        <f>9142-G99</f>
        <v>8387</v>
      </c>
      <c r="E99" s="98">
        <v>17306</v>
      </c>
      <c r="G99" s="99">
        <v>755</v>
      </c>
      <c r="H99" s="122"/>
      <c r="I99" s="122"/>
      <c r="J99" s="122"/>
      <c r="K99" s="122"/>
      <c r="L99" s="122"/>
      <c r="M99" s="122"/>
    </row>
    <row r="100" spans="1:13" x14ac:dyDescent="0.25">
      <c r="A100">
        <v>3</v>
      </c>
      <c r="B100" s="96">
        <v>43900</v>
      </c>
      <c r="C100" s="97">
        <v>4463</v>
      </c>
      <c r="D100" s="97">
        <f>8883-G100</f>
        <v>8191</v>
      </c>
      <c r="E100" s="98">
        <v>17386</v>
      </c>
      <c r="G100" s="99">
        <v>692</v>
      </c>
      <c r="H100" s="122"/>
      <c r="I100" s="122"/>
      <c r="J100" s="122"/>
      <c r="K100" s="122"/>
      <c r="L100" s="122"/>
      <c r="M100" s="122"/>
    </row>
    <row r="101" spans="1:13" x14ac:dyDescent="0.25">
      <c r="A101">
        <v>3</v>
      </c>
      <c r="B101" s="96">
        <v>43901</v>
      </c>
      <c r="C101" s="97">
        <v>4463</v>
      </c>
      <c r="D101" s="97">
        <f>8887-G101</f>
        <v>8180</v>
      </c>
      <c r="E101" s="98">
        <v>17386</v>
      </c>
      <c r="G101" s="99">
        <v>707</v>
      </c>
      <c r="H101" s="122"/>
      <c r="I101" s="122"/>
      <c r="J101" s="122"/>
      <c r="K101" s="122"/>
      <c r="L101" s="122"/>
      <c r="M101" s="122"/>
    </row>
    <row r="102" spans="1:13" x14ac:dyDescent="0.25">
      <c r="A102">
        <v>3</v>
      </c>
      <c r="B102" s="96">
        <v>43902</v>
      </c>
      <c r="C102" s="97">
        <v>4571</v>
      </c>
      <c r="D102" s="97">
        <f>9179-G102</f>
        <v>8472</v>
      </c>
      <c r="E102" s="98">
        <v>16596</v>
      </c>
      <c r="G102" s="99">
        <v>707</v>
      </c>
      <c r="H102" s="122"/>
      <c r="I102" s="122"/>
      <c r="J102" s="122"/>
      <c r="K102" s="122"/>
      <c r="L102" s="122"/>
      <c r="M102" s="122"/>
    </row>
    <row r="103" spans="1:13" x14ac:dyDescent="0.25">
      <c r="A103">
        <v>3</v>
      </c>
      <c r="B103" s="96">
        <v>43903</v>
      </c>
      <c r="C103" s="97">
        <v>4877</v>
      </c>
      <c r="D103" s="97">
        <f>8837-G103</f>
        <v>8230</v>
      </c>
      <c r="E103" s="98">
        <v>16012</v>
      </c>
      <c r="G103" s="99">
        <v>607</v>
      </c>
      <c r="H103" s="122"/>
      <c r="I103" s="122"/>
      <c r="J103" s="122"/>
      <c r="K103" s="122"/>
      <c r="L103" s="122"/>
      <c r="M103" s="122"/>
    </row>
    <row r="104" spans="1:13" x14ac:dyDescent="0.25">
      <c r="A104">
        <v>3</v>
      </c>
      <c r="B104" s="96">
        <v>43907</v>
      </c>
      <c r="C104" s="97">
        <v>4574</v>
      </c>
      <c r="D104" s="97">
        <f>8721-G104</f>
        <v>8125</v>
      </c>
      <c r="E104" s="98">
        <v>16064</v>
      </c>
      <c r="G104" s="99">
        <v>596</v>
      </c>
      <c r="H104" s="122"/>
      <c r="I104" s="122"/>
      <c r="J104" s="122"/>
      <c r="K104" s="122"/>
      <c r="L104" s="122"/>
      <c r="M104" s="122"/>
    </row>
    <row r="105" spans="1:13" x14ac:dyDescent="0.25">
      <c r="A105">
        <v>3</v>
      </c>
      <c r="B105" s="96">
        <v>43908</v>
      </c>
      <c r="C105" s="97">
        <v>4574</v>
      </c>
      <c r="D105" s="97">
        <f>8964-G105</f>
        <v>8368</v>
      </c>
      <c r="E105" s="98">
        <v>16235</v>
      </c>
      <c r="G105" s="99">
        <v>596</v>
      </c>
      <c r="H105" s="122"/>
      <c r="I105" s="122"/>
      <c r="J105" s="122"/>
      <c r="K105" s="122"/>
      <c r="L105" s="122"/>
      <c r="M105" s="122"/>
    </row>
    <row r="106" spans="1:13" x14ac:dyDescent="0.25">
      <c r="A106">
        <v>3</v>
      </c>
      <c r="B106" s="96">
        <v>43909</v>
      </c>
      <c r="C106" s="97">
        <v>4552</v>
      </c>
      <c r="D106" s="97">
        <f>8963-G106</f>
        <v>8391</v>
      </c>
      <c r="E106" s="98">
        <v>16342</v>
      </c>
      <c r="G106" s="99">
        <v>572</v>
      </c>
      <c r="H106" s="122"/>
      <c r="I106" s="122"/>
      <c r="J106" s="122"/>
      <c r="K106" s="122"/>
      <c r="L106" s="122"/>
      <c r="M106" s="122"/>
    </row>
    <row r="107" spans="1:13" x14ac:dyDescent="0.25">
      <c r="A107">
        <v>3</v>
      </c>
      <c r="B107" s="96">
        <v>43910</v>
      </c>
      <c r="C107" s="97">
        <v>4508</v>
      </c>
      <c r="D107" s="97">
        <f>8774-G107</f>
        <v>8223</v>
      </c>
      <c r="E107" s="98">
        <v>16340</v>
      </c>
      <c r="G107" s="99">
        <v>551</v>
      </c>
      <c r="H107" s="122"/>
      <c r="I107" s="122"/>
      <c r="J107" s="122"/>
      <c r="K107" s="122"/>
      <c r="L107" s="122"/>
      <c r="M107" s="122"/>
    </row>
    <row r="108" spans="1:13" x14ac:dyDescent="0.25">
      <c r="A108">
        <v>3</v>
      </c>
      <c r="B108" s="96">
        <v>43913</v>
      </c>
      <c r="C108" s="97">
        <v>4458</v>
      </c>
      <c r="D108" s="97">
        <f>9360-G108</f>
        <v>8809</v>
      </c>
      <c r="E108" s="98">
        <v>16154</v>
      </c>
      <c r="G108" s="99">
        <v>551</v>
      </c>
      <c r="H108" s="122"/>
      <c r="I108" s="122"/>
      <c r="J108" s="122"/>
      <c r="K108" s="122"/>
      <c r="L108" s="122"/>
      <c r="M108" s="122"/>
    </row>
    <row r="109" spans="1:13" x14ac:dyDescent="0.25">
      <c r="A109">
        <v>3</v>
      </c>
      <c r="B109" s="96">
        <v>43915</v>
      </c>
      <c r="C109" s="97">
        <v>4458</v>
      </c>
      <c r="D109" s="97">
        <f>9360-G109</f>
        <v>8809</v>
      </c>
      <c r="E109" s="98">
        <v>16130</v>
      </c>
      <c r="G109" s="99">
        <v>551</v>
      </c>
      <c r="H109" s="122"/>
      <c r="I109" s="122"/>
      <c r="J109" s="122"/>
      <c r="K109" s="122"/>
      <c r="L109" s="122"/>
      <c r="M109" s="122"/>
    </row>
    <row r="110" spans="1:13" x14ac:dyDescent="0.25">
      <c r="A110">
        <v>3</v>
      </c>
      <c r="B110" s="96">
        <v>43916</v>
      </c>
      <c r="C110" s="97">
        <v>4458</v>
      </c>
      <c r="D110" s="97">
        <f>9360-G110</f>
        <v>8809</v>
      </c>
      <c r="E110" s="98">
        <v>15865</v>
      </c>
      <c r="G110" s="99">
        <v>551</v>
      </c>
      <c r="H110" s="122"/>
      <c r="I110" s="122"/>
      <c r="J110" s="122"/>
      <c r="K110" s="122"/>
      <c r="L110" s="122"/>
      <c r="M110" s="122"/>
    </row>
    <row r="111" spans="1:13" x14ac:dyDescent="0.25">
      <c r="A111">
        <v>3</v>
      </c>
      <c r="B111" s="96">
        <v>43920</v>
      </c>
      <c r="C111" s="97">
        <v>4388</v>
      </c>
      <c r="D111" s="97">
        <f>9360-G111</f>
        <v>8809</v>
      </c>
      <c r="E111" s="98">
        <v>15991</v>
      </c>
      <c r="G111" s="99">
        <v>551</v>
      </c>
      <c r="H111" s="122"/>
      <c r="I111" s="122"/>
      <c r="J111" s="122"/>
      <c r="K111" s="122"/>
      <c r="L111" s="122"/>
      <c r="M111" s="122"/>
    </row>
    <row r="112" spans="1:13" x14ac:dyDescent="0.25">
      <c r="A112">
        <v>4</v>
      </c>
      <c r="B112" s="96">
        <v>43922</v>
      </c>
      <c r="C112" s="97">
        <v>4320</v>
      </c>
      <c r="D112" s="97">
        <f>9360-G112</f>
        <v>8809</v>
      </c>
      <c r="E112" s="98">
        <v>15993</v>
      </c>
      <c r="G112" s="99">
        <v>551</v>
      </c>
      <c r="H112" s="122"/>
      <c r="I112" s="122"/>
      <c r="J112" s="122"/>
      <c r="K112" s="122"/>
      <c r="L112" s="122"/>
      <c r="M112" s="122"/>
    </row>
    <row r="113" spans="1:13" x14ac:dyDescent="0.25">
      <c r="A113">
        <v>4</v>
      </c>
      <c r="B113" s="96">
        <v>43927</v>
      </c>
      <c r="C113" s="97">
        <v>4258</v>
      </c>
      <c r="D113" s="97">
        <f>9658-G113</f>
        <v>9107</v>
      </c>
      <c r="E113" s="98">
        <v>15988</v>
      </c>
      <c r="G113" s="99">
        <v>551</v>
      </c>
      <c r="H113" s="122"/>
      <c r="I113" s="122"/>
      <c r="J113" s="122"/>
      <c r="K113" s="122"/>
      <c r="L113" s="122"/>
      <c r="M113" s="122"/>
    </row>
    <row r="114" spans="1:13" x14ac:dyDescent="0.25">
      <c r="A114">
        <v>4</v>
      </c>
      <c r="B114" s="96">
        <v>43930</v>
      </c>
      <c r="C114" s="97">
        <v>4242</v>
      </c>
      <c r="D114" s="97">
        <f>9708-G114</f>
        <v>9157</v>
      </c>
      <c r="E114" s="98">
        <v>15538</v>
      </c>
      <c r="G114" s="99">
        <v>551</v>
      </c>
      <c r="H114" s="122"/>
      <c r="I114" s="122"/>
      <c r="J114" s="122"/>
      <c r="K114" s="122"/>
      <c r="L114" s="122"/>
      <c r="M114" s="122"/>
    </row>
    <row r="115" spans="1:13" x14ac:dyDescent="0.25">
      <c r="A115">
        <v>4</v>
      </c>
      <c r="B115" s="96">
        <v>43936</v>
      </c>
      <c r="C115" s="97">
        <v>4083</v>
      </c>
      <c r="D115" s="97">
        <f>10033-G115</f>
        <v>9455</v>
      </c>
      <c r="E115" s="98">
        <v>15336</v>
      </c>
      <c r="G115" s="99">
        <v>578</v>
      </c>
      <c r="H115" s="122"/>
      <c r="I115" s="122"/>
      <c r="J115" s="122"/>
      <c r="K115" s="122"/>
      <c r="L115" s="122"/>
      <c r="M115" s="122"/>
    </row>
    <row r="116" spans="1:13" x14ac:dyDescent="0.25">
      <c r="A116">
        <v>4</v>
      </c>
      <c r="B116" s="96">
        <v>43941</v>
      </c>
      <c r="C116" s="97">
        <v>5258</v>
      </c>
      <c r="D116" s="97">
        <f>10750-G116</f>
        <v>9984</v>
      </c>
      <c r="E116" s="98">
        <v>16407</v>
      </c>
      <c r="G116" s="99">
        <v>766</v>
      </c>
      <c r="H116" s="122"/>
      <c r="I116" s="122"/>
      <c r="J116" s="122"/>
      <c r="K116" s="122"/>
      <c r="L116" s="122"/>
      <c r="M116" s="122"/>
    </row>
    <row r="117" spans="1:13" x14ac:dyDescent="0.25">
      <c r="A117">
        <v>4</v>
      </c>
      <c r="B117" s="96">
        <v>43942</v>
      </c>
      <c r="C117" s="97">
        <v>5207</v>
      </c>
      <c r="D117" s="97">
        <f>10735-G117</f>
        <v>9898</v>
      </c>
      <c r="E117" s="98">
        <v>16438</v>
      </c>
      <c r="G117" s="99">
        <v>837</v>
      </c>
      <c r="H117" s="122"/>
      <c r="I117" s="122"/>
      <c r="J117" s="122"/>
      <c r="K117" s="122"/>
      <c r="L117" s="122"/>
      <c r="M117" s="122"/>
    </row>
    <row r="118" spans="1:13" x14ac:dyDescent="0.25">
      <c r="A118">
        <v>4</v>
      </c>
      <c r="B118" s="96">
        <v>43943</v>
      </c>
      <c r="C118" s="97">
        <v>5336</v>
      </c>
      <c r="D118" s="97">
        <f>10925-G118</f>
        <v>10067</v>
      </c>
      <c r="E118" s="98">
        <v>16671</v>
      </c>
      <c r="G118" s="99">
        <v>858</v>
      </c>
      <c r="H118" s="122"/>
      <c r="I118" s="122"/>
      <c r="J118" s="122"/>
      <c r="K118" s="122"/>
      <c r="L118" s="122"/>
      <c r="M118" s="122"/>
    </row>
    <row r="119" spans="1:13" x14ac:dyDescent="0.25">
      <c r="A119">
        <v>4</v>
      </c>
      <c r="B119" s="96">
        <v>43948</v>
      </c>
      <c r="C119" s="97">
        <v>5999</v>
      </c>
      <c r="D119" s="97">
        <f>11035-G119</f>
        <v>10005</v>
      </c>
      <c r="E119" s="98">
        <v>18031</v>
      </c>
      <c r="G119" s="99">
        <v>1030</v>
      </c>
      <c r="H119" s="122"/>
      <c r="I119" s="122"/>
      <c r="J119" s="122"/>
      <c r="K119" s="122"/>
      <c r="L119" s="122"/>
      <c r="M119" s="122"/>
    </row>
    <row r="120" spans="1:13" x14ac:dyDescent="0.25">
      <c r="A120">
        <v>4</v>
      </c>
      <c r="B120" s="11">
        <v>43949</v>
      </c>
      <c r="C120" s="10">
        <v>5999</v>
      </c>
      <c r="D120" s="10">
        <f>10952-G120</f>
        <v>9835</v>
      </c>
      <c r="E120" s="7">
        <v>18025</v>
      </c>
      <c r="G120" s="10">
        <v>1117</v>
      </c>
      <c r="H120" s="122"/>
      <c r="I120" s="122"/>
      <c r="J120" s="122"/>
      <c r="K120" s="122"/>
      <c r="L120" s="122"/>
      <c r="M120" s="122"/>
    </row>
    <row r="121" spans="1:13" x14ac:dyDescent="0.25">
      <c r="A121">
        <v>4</v>
      </c>
      <c r="B121" s="96">
        <v>43950</v>
      </c>
      <c r="C121" s="97">
        <v>5941</v>
      </c>
      <c r="D121" s="97">
        <f>11047-G121</f>
        <v>9998</v>
      </c>
      <c r="E121" s="98">
        <v>17970</v>
      </c>
      <c r="G121" s="99">
        <v>1049</v>
      </c>
      <c r="H121" s="122"/>
      <c r="I121" s="122"/>
      <c r="J121" s="122"/>
      <c r="K121" s="122"/>
      <c r="L121" s="122"/>
      <c r="M121" s="122"/>
    </row>
    <row r="122" spans="1:13" x14ac:dyDescent="0.25">
      <c r="A122">
        <v>4</v>
      </c>
      <c r="B122" s="96">
        <v>43951</v>
      </c>
      <c r="C122" s="97">
        <v>5911</v>
      </c>
      <c r="D122" s="97">
        <f>11133-G122</f>
        <v>10082</v>
      </c>
      <c r="E122" s="98">
        <v>18086</v>
      </c>
      <c r="G122" s="99">
        <v>1051</v>
      </c>
      <c r="H122" s="122"/>
      <c r="I122" s="122"/>
      <c r="J122" s="122"/>
      <c r="K122" s="122"/>
      <c r="L122" s="122"/>
      <c r="M122" s="122"/>
    </row>
    <row r="123" spans="1:13" x14ac:dyDescent="0.25">
      <c r="A123">
        <v>5</v>
      </c>
      <c r="B123" s="96">
        <v>43955</v>
      </c>
      <c r="C123" s="97">
        <v>6026</v>
      </c>
      <c r="D123" s="97">
        <f>11138-G123</f>
        <v>10063</v>
      </c>
      <c r="E123" s="98">
        <v>18822</v>
      </c>
      <c r="G123" s="99">
        <v>1075</v>
      </c>
      <c r="H123" s="122"/>
      <c r="I123" s="122"/>
      <c r="J123" s="122"/>
      <c r="K123" s="122"/>
      <c r="L123" s="122"/>
      <c r="M123" s="122"/>
    </row>
    <row r="124" spans="1:13" x14ac:dyDescent="0.25">
      <c r="A124">
        <v>5</v>
      </c>
      <c r="B124" s="96">
        <v>43956</v>
      </c>
      <c r="C124" s="97">
        <v>6026</v>
      </c>
      <c r="D124" s="97">
        <f>11089-G124</f>
        <v>10018</v>
      </c>
      <c r="E124" s="98">
        <v>18922</v>
      </c>
      <c r="G124" s="99">
        <v>1071</v>
      </c>
      <c r="H124" s="122"/>
      <c r="I124" s="122"/>
      <c r="J124" s="122"/>
      <c r="K124" s="122"/>
      <c r="L124" s="122"/>
      <c r="M124" s="122"/>
    </row>
    <row r="125" spans="1:13" x14ac:dyDescent="0.25">
      <c r="A125">
        <v>5</v>
      </c>
      <c r="B125" s="96">
        <v>43957</v>
      </c>
      <c r="C125" s="97">
        <v>6144</v>
      </c>
      <c r="D125" s="97">
        <f>11226-G125</f>
        <v>10111</v>
      </c>
      <c r="E125" s="98">
        <v>19200</v>
      </c>
      <c r="G125" s="99">
        <v>1115</v>
      </c>
      <c r="H125" s="122"/>
      <c r="I125" s="122"/>
      <c r="J125" s="122"/>
      <c r="K125" s="122"/>
      <c r="L125" s="122"/>
      <c r="M125" s="122"/>
    </row>
    <row r="126" spans="1:13" x14ac:dyDescent="0.25">
      <c r="A126">
        <v>5</v>
      </c>
      <c r="B126" s="96">
        <v>43962</v>
      </c>
      <c r="C126" s="97">
        <v>6275</v>
      </c>
      <c r="D126" s="97">
        <f>11072-G126</f>
        <v>9968</v>
      </c>
      <c r="E126" s="98">
        <v>19861</v>
      </c>
      <c r="G126" s="99">
        <v>1104</v>
      </c>
      <c r="H126" s="122"/>
      <c r="I126" s="122"/>
      <c r="J126" s="122"/>
      <c r="K126" s="122"/>
      <c r="L126" s="122"/>
      <c r="M126" s="122"/>
    </row>
    <row r="127" spans="1:13" x14ac:dyDescent="0.25">
      <c r="A127">
        <v>5</v>
      </c>
      <c r="B127" s="96">
        <v>43963</v>
      </c>
      <c r="C127" s="97">
        <v>6323</v>
      </c>
      <c r="D127" s="97">
        <f>11024-G127</f>
        <v>9918</v>
      </c>
      <c r="E127" s="98">
        <v>19438</v>
      </c>
      <c r="G127" s="99">
        <v>1106</v>
      </c>
      <c r="H127" s="122"/>
      <c r="I127" s="122"/>
      <c r="J127" s="122"/>
      <c r="K127" s="122"/>
      <c r="L127" s="122"/>
      <c r="M127" s="122"/>
    </row>
    <row r="128" spans="1:13" x14ac:dyDescent="0.25">
      <c r="A128">
        <v>5</v>
      </c>
      <c r="B128" s="96">
        <v>43964</v>
      </c>
      <c r="C128" s="97">
        <v>6413</v>
      </c>
      <c r="D128" s="97">
        <f>11170-G128</f>
        <v>10069</v>
      </c>
      <c r="E128" s="98">
        <v>18979</v>
      </c>
      <c r="G128" s="99">
        <v>1101</v>
      </c>
      <c r="H128" s="122"/>
      <c r="I128" s="122"/>
      <c r="J128" s="122"/>
      <c r="K128" s="122"/>
      <c r="L128" s="122"/>
      <c r="M128" s="122"/>
    </row>
    <row r="129" spans="1:13" x14ac:dyDescent="0.25">
      <c r="A129">
        <v>5</v>
      </c>
      <c r="B129" s="96">
        <v>43965</v>
      </c>
      <c r="C129" s="97">
        <v>6541</v>
      </c>
      <c r="D129" s="97">
        <f>11190-G129</f>
        <v>10058</v>
      </c>
      <c r="E129" s="98">
        <v>18482</v>
      </c>
      <c r="G129" s="99">
        <v>1132</v>
      </c>
      <c r="H129" s="122"/>
      <c r="I129" s="122"/>
      <c r="J129" s="122"/>
      <c r="K129" s="122"/>
      <c r="L129" s="122"/>
      <c r="M129" s="122"/>
    </row>
    <row r="130" spans="1:13" x14ac:dyDescent="0.25">
      <c r="A130">
        <v>5</v>
      </c>
      <c r="B130" s="96">
        <v>43966</v>
      </c>
      <c r="C130" s="97">
        <v>6618</v>
      </c>
      <c r="D130" s="97">
        <f>11289-G130</f>
        <v>10082</v>
      </c>
      <c r="E130" s="98">
        <v>18623</v>
      </c>
      <c r="G130" s="99">
        <v>1207</v>
      </c>
      <c r="H130" s="122"/>
      <c r="I130" s="122"/>
      <c r="J130" s="122"/>
      <c r="K130" s="122"/>
      <c r="L130" s="122"/>
      <c r="M130" s="122"/>
    </row>
    <row r="131" spans="1:13" x14ac:dyDescent="0.25">
      <c r="A131">
        <v>5</v>
      </c>
      <c r="B131" s="96">
        <v>43969</v>
      </c>
      <c r="C131" s="97">
        <v>6362</v>
      </c>
      <c r="D131" s="97">
        <f>11479-G131</f>
        <v>10239</v>
      </c>
      <c r="E131" s="98">
        <v>18064</v>
      </c>
      <c r="G131" s="99">
        <v>1240</v>
      </c>
      <c r="H131" s="122"/>
      <c r="I131" s="122"/>
      <c r="J131" s="122"/>
      <c r="K131" s="122"/>
      <c r="L131" s="122"/>
      <c r="M131" s="122"/>
    </row>
    <row r="132" spans="1:13" x14ac:dyDescent="0.25">
      <c r="A132">
        <v>5</v>
      </c>
      <c r="B132" s="96">
        <v>43970</v>
      </c>
      <c r="C132" s="97">
        <v>6446</v>
      </c>
      <c r="D132" s="97">
        <f>11437-G132</f>
        <v>10197</v>
      </c>
      <c r="E132" s="98">
        <v>17972</v>
      </c>
      <c r="G132" s="99">
        <v>1240</v>
      </c>
      <c r="H132" s="122"/>
      <c r="I132" s="122"/>
      <c r="J132" s="122"/>
      <c r="K132" s="122"/>
      <c r="L132" s="122"/>
      <c r="M132" s="122"/>
    </row>
    <row r="133" spans="1:13" x14ac:dyDescent="0.25">
      <c r="A133">
        <v>5</v>
      </c>
      <c r="B133" s="96">
        <v>43971</v>
      </c>
      <c r="C133" s="97">
        <v>6363</v>
      </c>
      <c r="D133" s="97">
        <f>11709-G133</f>
        <v>10473</v>
      </c>
      <c r="E133" s="98">
        <v>18396</v>
      </c>
      <c r="G133" s="99">
        <v>1236</v>
      </c>
      <c r="H133" s="122"/>
      <c r="I133" s="122"/>
      <c r="J133" s="122"/>
      <c r="K133" s="122"/>
      <c r="L133" s="122"/>
      <c r="M133" s="122"/>
    </row>
    <row r="134" spans="1:13" x14ac:dyDescent="0.25">
      <c r="A134">
        <v>5</v>
      </c>
      <c r="B134" s="96">
        <v>43972</v>
      </c>
      <c r="C134" s="97">
        <v>6425</v>
      </c>
      <c r="D134" s="97">
        <f>11653-G134</f>
        <v>10412</v>
      </c>
      <c r="E134" s="98">
        <v>18149</v>
      </c>
      <c r="G134" s="99">
        <v>1241</v>
      </c>
      <c r="H134" s="122"/>
      <c r="I134" s="122"/>
      <c r="J134" s="122"/>
      <c r="K134" s="122"/>
      <c r="L134" s="122"/>
      <c r="M134" s="122"/>
    </row>
    <row r="135" spans="1:13" x14ac:dyDescent="0.25">
      <c r="A135">
        <v>5</v>
      </c>
      <c r="B135" s="96">
        <v>43973</v>
      </c>
      <c r="C135" s="97">
        <v>6482</v>
      </c>
      <c r="D135" s="97">
        <f>11660-G135</f>
        <v>10383</v>
      </c>
      <c r="E135" s="98">
        <v>17629</v>
      </c>
      <c r="G135" s="99">
        <v>1277</v>
      </c>
      <c r="H135" s="122"/>
      <c r="I135" s="122"/>
      <c r="J135" s="122"/>
      <c r="K135" s="122"/>
      <c r="L135" s="122"/>
      <c r="M135" s="122"/>
    </row>
    <row r="136" spans="1:13" x14ac:dyDescent="0.25">
      <c r="A136">
        <v>5</v>
      </c>
      <c r="B136" s="96">
        <v>43976</v>
      </c>
      <c r="C136" s="97">
        <v>6421</v>
      </c>
      <c r="D136" s="97">
        <f>11560-G136</f>
        <v>10228</v>
      </c>
      <c r="E136" s="98">
        <v>16993</v>
      </c>
      <c r="G136" s="99">
        <v>1332</v>
      </c>
      <c r="H136" s="122"/>
      <c r="I136" s="122"/>
      <c r="J136" s="122"/>
      <c r="K136" s="122"/>
      <c r="L136" s="122"/>
      <c r="M136" s="122"/>
    </row>
    <row r="137" spans="1:13" x14ac:dyDescent="0.25">
      <c r="A137">
        <v>5</v>
      </c>
      <c r="B137" s="96">
        <v>43977</v>
      </c>
      <c r="C137" s="97">
        <v>6304</v>
      </c>
      <c r="D137" s="97">
        <f>11488-G137</f>
        <v>10015</v>
      </c>
      <c r="E137" s="98">
        <v>16870</v>
      </c>
      <c r="G137" s="99">
        <v>1473</v>
      </c>
      <c r="H137" s="122"/>
      <c r="I137" s="122"/>
      <c r="J137" s="122"/>
      <c r="K137" s="122"/>
      <c r="L137" s="122"/>
      <c r="M137" s="122"/>
    </row>
    <row r="138" spans="1:13" x14ac:dyDescent="0.25">
      <c r="A138">
        <v>5</v>
      </c>
      <c r="B138" s="96">
        <v>43978</v>
      </c>
      <c r="C138" s="97">
        <v>6711</v>
      </c>
      <c r="D138" s="97">
        <f>11691-G138</f>
        <v>10213</v>
      </c>
      <c r="E138" s="98">
        <v>16746</v>
      </c>
      <c r="G138" s="99">
        <v>1478</v>
      </c>
      <c r="H138" s="122"/>
      <c r="I138" s="122"/>
      <c r="J138" s="122"/>
      <c r="K138" s="122"/>
      <c r="L138" s="122"/>
      <c r="M138" s="122"/>
    </row>
    <row r="139" spans="1:13" x14ac:dyDescent="0.25">
      <c r="A139">
        <v>5</v>
      </c>
      <c r="B139" s="96">
        <v>43979</v>
      </c>
      <c r="C139" s="97">
        <v>6959</v>
      </c>
      <c r="D139" s="97">
        <f>11541-G139</f>
        <v>10057</v>
      </c>
      <c r="E139" s="98">
        <v>16562</v>
      </c>
      <c r="F139">
        <v>1890</v>
      </c>
      <c r="G139" s="99">
        <v>1484</v>
      </c>
      <c r="H139" s="122"/>
      <c r="I139" s="122"/>
      <c r="J139" s="122"/>
      <c r="K139" s="122"/>
      <c r="L139" s="122"/>
      <c r="M139" s="122"/>
    </row>
    <row r="140" spans="1:13" x14ac:dyDescent="0.25">
      <c r="A140">
        <v>5</v>
      </c>
      <c r="B140" s="96">
        <v>43980</v>
      </c>
      <c r="C140" s="97">
        <v>6767</v>
      </c>
      <c r="D140" s="97">
        <f>11819-G140</f>
        <v>10682</v>
      </c>
      <c r="E140" s="98">
        <v>16264</v>
      </c>
      <c r="F140" s="120">
        <f>1903-12</f>
        <v>1891</v>
      </c>
      <c r="G140" s="99">
        <v>1137</v>
      </c>
      <c r="H140" s="122"/>
      <c r="I140" s="122"/>
      <c r="J140" s="122"/>
      <c r="K140" s="122"/>
      <c r="L140" s="122"/>
      <c r="M140" s="122"/>
    </row>
    <row r="141" spans="1:13" x14ac:dyDescent="0.25">
      <c r="A141">
        <v>6</v>
      </c>
      <c r="B141" s="96">
        <v>43983</v>
      </c>
      <c r="C141" s="97">
        <v>6431</v>
      </c>
      <c r="D141" s="97">
        <f>11102-G141</f>
        <v>10388</v>
      </c>
      <c r="E141" s="98">
        <v>15779</v>
      </c>
      <c r="F141" s="78">
        <f>1930-12.6</f>
        <v>1917.4</v>
      </c>
      <c r="G141" s="99">
        <v>714</v>
      </c>
      <c r="H141" s="122"/>
      <c r="I141" s="122"/>
      <c r="J141" s="122"/>
      <c r="K141" s="122"/>
      <c r="L141" s="122"/>
      <c r="M141" s="122"/>
    </row>
    <row r="142" spans="1:13" x14ac:dyDescent="0.25">
      <c r="A142">
        <v>6</v>
      </c>
      <c r="B142" s="96">
        <v>43984</v>
      </c>
      <c r="C142" s="97">
        <v>6315</v>
      </c>
      <c r="D142" s="97">
        <f>10981-G142</f>
        <v>10187</v>
      </c>
      <c r="E142" s="98">
        <v>15725</v>
      </c>
      <c r="F142" s="120">
        <f>1930-12.6</f>
        <v>1917.4</v>
      </c>
      <c r="G142" s="99">
        <v>794</v>
      </c>
      <c r="H142" s="122"/>
      <c r="I142" s="122"/>
      <c r="J142" s="122"/>
      <c r="K142" s="122"/>
      <c r="L142" s="122"/>
      <c r="M142" s="122"/>
    </row>
    <row r="143" spans="1:13" x14ac:dyDescent="0.25">
      <c r="A143">
        <v>6</v>
      </c>
      <c r="B143" s="96">
        <v>43985</v>
      </c>
      <c r="C143" s="97">
        <v>6430</v>
      </c>
      <c r="D143" s="97">
        <f>11241-G143</f>
        <v>10508</v>
      </c>
      <c r="E143" s="98">
        <v>16029</v>
      </c>
      <c r="F143" s="120">
        <f>2122-12.6</f>
        <v>2109.4</v>
      </c>
      <c r="G143" s="99">
        <v>733</v>
      </c>
      <c r="H143" s="122"/>
      <c r="I143" s="122"/>
      <c r="J143" s="122"/>
      <c r="K143" s="122"/>
      <c r="L143" s="122"/>
      <c r="M143" s="122"/>
    </row>
    <row r="144" spans="1:13" x14ac:dyDescent="0.25">
      <c r="A144">
        <v>6</v>
      </c>
      <c r="B144" s="96">
        <v>43986</v>
      </c>
      <c r="C144" s="97">
        <v>6627</v>
      </c>
      <c r="D144" s="97">
        <f>11156-G144</f>
        <v>10512</v>
      </c>
      <c r="E144" s="98">
        <v>15786</v>
      </c>
      <c r="F144" s="120">
        <f>2219-12.6</f>
        <v>2206.4</v>
      </c>
      <c r="G144" s="99">
        <v>644</v>
      </c>
      <c r="H144" s="122"/>
      <c r="I144" s="122"/>
      <c r="J144" s="122"/>
      <c r="K144" s="122"/>
      <c r="L144" s="122"/>
      <c r="M144" s="122"/>
    </row>
    <row r="145" spans="1:13" x14ac:dyDescent="0.25">
      <c r="A145">
        <v>6</v>
      </c>
      <c r="B145" s="96">
        <v>43990</v>
      </c>
      <c r="C145" s="97">
        <v>6600</v>
      </c>
      <c r="D145" s="97">
        <f>10811-G145</f>
        <v>10194</v>
      </c>
      <c r="E145" s="98">
        <v>15524</v>
      </c>
      <c r="F145" s="120">
        <f>2187-12.6</f>
        <v>2174.4</v>
      </c>
      <c r="G145" s="99">
        <v>617</v>
      </c>
      <c r="H145" s="122"/>
      <c r="I145" s="122"/>
      <c r="J145" s="122"/>
      <c r="K145" s="122"/>
      <c r="L145" s="122"/>
      <c r="M145" s="122"/>
    </row>
    <row r="146" spans="1:13" x14ac:dyDescent="0.25">
      <c r="A146">
        <v>6</v>
      </c>
      <c r="B146" s="96">
        <v>43991</v>
      </c>
      <c r="C146" s="97">
        <v>6564</v>
      </c>
      <c r="D146" s="97">
        <f>10636-G146</f>
        <v>10013</v>
      </c>
      <c r="E146" s="98">
        <v>15595</v>
      </c>
      <c r="F146" s="120">
        <f>2289-12.6</f>
        <v>2276.4</v>
      </c>
      <c r="G146" s="99">
        <v>623</v>
      </c>
      <c r="H146" s="122"/>
      <c r="I146" s="122"/>
      <c r="J146" s="122"/>
      <c r="K146" s="122"/>
      <c r="L146" s="122"/>
      <c r="M146" s="122"/>
    </row>
    <row r="147" spans="1:13" x14ac:dyDescent="0.25">
      <c r="A147">
        <v>6</v>
      </c>
      <c r="B147" s="96">
        <v>43992</v>
      </c>
      <c r="C147" s="130">
        <v>6639</v>
      </c>
      <c r="D147" s="97">
        <v>10883</v>
      </c>
      <c r="E147" s="97">
        <v>15639</v>
      </c>
      <c r="F147" s="97">
        <f>2523-12.6</f>
        <v>2510.4</v>
      </c>
      <c r="G147" s="99"/>
      <c r="H147" s="122"/>
      <c r="I147" s="122"/>
      <c r="J147" s="122"/>
      <c r="K147" s="122"/>
      <c r="L147" s="122"/>
      <c r="M147" s="122"/>
    </row>
    <row r="148" spans="1:13" x14ac:dyDescent="0.25">
      <c r="A148">
        <v>6</v>
      </c>
      <c r="B148" s="96">
        <v>43993</v>
      </c>
      <c r="C148" s="97">
        <v>6856</v>
      </c>
      <c r="D148" s="97">
        <v>10767</v>
      </c>
      <c r="E148" s="98">
        <v>15443</v>
      </c>
      <c r="F148" s="97">
        <f>2681-12.6</f>
        <v>2668.4</v>
      </c>
      <c r="G148" s="99"/>
      <c r="H148" s="122"/>
      <c r="I148" s="122"/>
      <c r="J148" s="122"/>
      <c r="K148" s="122"/>
      <c r="L148" s="122"/>
      <c r="M148" s="122"/>
    </row>
    <row r="149" spans="1:13" x14ac:dyDescent="0.25">
      <c r="A149">
        <v>6</v>
      </c>
      <c r="B149" s="96">
        <v>43994</v>
      </c>
      <c r="C149" s="97">
        <v>6942</v>
      </c>
      <c r="D149" s="97">
        <v>10614</v>
      </c>
      <c r="E149" s="98">
        <v>15572</v>
      </c>
      <c r="F149" s="97">
        <f>2664-12.6</f>
        <v>2651.4</v>
      </c>
      <c r="G149" s="99"/>
      <c r="H149" s="122"/>
      <c r="I149" s="122"/>
      <c r="J149" s="122"/>
      <c r="K149" s="122"/>
      <c r="L149" s="122"/>
      <c r="M149" s="122"/>
    </row>
    <row r="150" spans="1:13" x14ac:dyDescent="0.25">
      <c r="A150">
        <v>6</v>
      </c>
      <c r="B150" s="96">
        <v>43997</v>
      </c>
      <c r="C150" s="97">
        <v>6649</v>
      </c>
      <c r="D150" s="97">
        <v>10190</v>
      </c>
      <c r="E150" s="98">
        <v>15404</v>
      </c>
      <c r="F150" s="97">
        <f>2657-12.6</f>
        <v>2644.4</v>
      </c>
      <c r="G150" s="99"/>
      <c r="H150" s="122"/>
      <c r="I150" s="122"/>
      <c r="J150" s="122"/>
      <c r="K150" s="122"/>
      <c r="L150" s="122"/>
      <c r="M150" s="122"/>
    </row>
    <row r="151" spans="1:13" x14ac:dyDescent="0.25">
      <c r="A151">
        <v>6</v>
      </c>
      <c r="B151" s="96">
        <v>43998</v>
      </c>
      <c r="C151" s="97">
        <v>6649</v>
      </c>
      <c r="D151" s="97">
        <v>10089</v>
      </c>
      <c r="E151" s="98">
        <v>15234</v>
      </c>
      <c r="F151" s="97">
        <f>2657-12.6</f>
        <v>2644.4</v>
      </c>
      <c r="G151" s="99"/>
      <c r="H151" s="122"/>
      <c r="I151" s="122"/>
      <c r="J151" s="122"/>
      <c r="K151" s="122"/>
      <c r="L151" s="122"/>
      <c r="M151" s="122"/>
    </row>
    <row r="152" spans="1:13" x14ac:dyDescent="0.25">
      <c r="A152">
        <v>6</v>
      </c>
      <c r="B152" s="96">
        <v>43999</v>
      </c>
      <c r="C152" s="97">
        <v>6751</v>
      </c>
      <c r="D152" s="97">
        <v>10290</v>
      </c>
      <c r="E152" s="98">
        <v>14918</v>
      </c>
      <c r="F152" s="97">
        <f>2765-12.6</f>
        <v>2752.4</v>
      </c>
      <c r="G152" s="99"/>
      <c r="H152" s="122"/>
      <c r="I152" s="122"/>
      <c r="J152" s="122"/>
      <c r="K152" s="122"/>
      <c r="L152" s="122"/>
      <c r="M152" s="122"/>
    </row>
    <row r="153" spans="1:13" x14ac:dyDescent="0.25">
      <c r="A153">
        <v>6</v>
      </c>
      <c r="B153" s="96">
        <v>44000</v>
      </c>
      <c r="C153" s="97">
        <v>6732</v>
      </c>
      <c r="D153" s="97">
        <v>10267</v>
      </c>
      <c r="E153" s="98">
        <v>15369</v>
      </c>
      <c r="F153" s="97">
        <f>2927-12.6</f>
        <v>2914.4</v>
      </c>
      <c r="G153" s="99"/>
      <c r="H153" s="122"/>
      <c r="I153" s="122"/>
      <c r="J153" s="122"/>
      <c r="K153" s="122"/>
      <c r="L153" s="122"/>
      <c r="M153" s="122"/>
    </row>
    <row r="154" spans="1:13" x14ac:dyDescent="0.25">
      <c r="A154">
        <v>6</v>
      </c>
      <c r="B154" s="96">
        <v>44001</v>
      </c>
      <c r="C154" s="97">
        <v>6761</v>
      </c>
      <c r="D154" s="97">
        <v>10178</v>
      </c>
      <c r="E154" s="98">
        <v>15939</v>
      </c>
      <c r="F154" s="97">
        <f>3081-12.6</f>
        <v>3068.4</v>
      </c>
      <c r="G154" s="99"/>
      <c r="H154" s="122"/>
      <c r="I154" s="122"/>
      <c r="J154" s="122"/>
      <c r="K154" s="122"/>
      <c r="L154" s="122"/>
      <c r="M154" s="122"/>
    </row>
    <row r="155" spans="1:13" x14ac:dyDescent="0.25">
      <c r="A155">
        <v>6</v>
      </c>
      <c r="B155" s="96">
        <v>44004</v>
      </c>
      <c r="C155" s="97">
        <v>6806</v>
      </c>
      <c r="D155" s="97">
        <v>9528</v>
      </c>
      <c r="E155" s="98">
        <v>15411</v>
      </c>
      <c r="F155" s="97">
        <f>2943-12.6</f>
        <v>2930.4</v>
      </c>
      <c r="G155" s="99"/>
      <c r="H155" s="122"/>
      <c r="I155" s="122"/>
      <c r="J155" s="122"/>
      <c r="K155" s="122"/>
      <c r="L155" s="122"/>
      <c r="M155" s="122"/>
    </row>
    <row r="156" spans="1:13" x14ac:dyDescent="0.25">
      <c r="A156">
        <v>6</v>
      </c>
      <c r="B156" s="96">
        <v>44005</v>
      </c>
      <c r="C156" s="97">
        <f>6806-847.96</f>
        <v>5958.04</v>
      </c>
      <c r="D156" s="97">
        <v>9364</v>
      </c>
      <c r="E156" s="98">
        <v>15189</v>
      </c>
      <c r="F156" s="97">
        <f>3077-12.6</f>
        <v>3064.4</v>
      </c>
      <c r="G156" s="99"/>
      <c r="H156" s="122"/>
      <c r="I156" s="122"/>
      <c r="J156" s="122"/>
      <c r="K156" s="122"/>
      <c r="L156" s="122"/>
      <c r="M156" s="122"/>
    </row>
    <row r="157" spans="1:13" x14ac:dyDescent="0.25">
      <c r="A157">
        <v>6</v>
      </c>
      <c r="B157" s="96">
        <v>44006</v>
      </c>
      <c r="C157" s="97">
        <f>6936-847.96</f>
        <v>6088.04</v>
      </c>
      <c r="D157" s="97">
        <v>9405</v>
      </c>
      <c r="E157" s="98">
        <v>15345</v>
      </c>
      <c r="F157" s="97">
        <f>3230-12.6</f>
        <v>3217.4</v>
      </c>
      <c r="G157" s="99"/>
      <c r="H157" s="122"/>
      <c r="I157" s="122"/>
      <c r="J157" s="122"/>
      <c r="K157" s="122"/>
      <c r="L157" s="122"/>
      <c r="M157" s="122"/>
    </row>
    <row r="158" spans="1:13" x14ac:dyDescent="0.25">
      <c r="A158">
        <v>6</v>
      </c>
      <c r="B158" s="96">
        <v>44007</v>
      </c>
      <c r="C158" s="97">
        <f>7018-847</f>
        <v>6171</v>
      </c>
      <c r="D158" s="97">
        <v>9420</v>
      </c>
      <c r="E158" s="98">
        <v>15446</v>
      </c>
      <c r="F158" s="97">
        <f>3458-12.6</f>
        <v>3445.4</v>
      </c>
      <c r="G158" s="99"/>
      <c r="H158" s="122"/>
      <c r="I158" s="122"/>
      <c r="J158" s="122"/>
      <c r="K158" s="122"/>
      <c r="L158" s="122"/>
      <c r="M158" s="122"/>
    </row>
    <row r="159" spans="1:13" x14ac:dyDescent="0.25">
      <c r="A159">
        <v>6</v>
      </c>
      <c r="B159" s="96">
        <v>44008</v>
      </c>
      <c r="C159" s="97">
        <f>6891-847</f>
        <v>6044</v>
      </c>
      <c r="D159" s="97">
        <v>9264</v>
      </c>
      <c r="E159" s="98">
        <v>15754</v>
      </c>
      <c r="F159" s="97">
        <f>3292-12.6</f>
        <v>3279.4</v>
      </c>
      <c r="G159" s="99"/>
      <c r="H159" s="122"/>
      <c r="I159" s="122"/>
      <c r="J159" s="122"/>
      <c r="K159" s="122"/>
      <c r="L159" s="122"/>
      <c r="M159" s="122"/>
    </row>
    <row r="160" spans="1:13" x14ac:dyDescent="0.25">
      <c r="A160">
        <v>6</v>
      </c>
      <c r="B160" s="96">
        <v>44011</v>
      </c>
      <c r="C160" s="97">
        <f>6796-847</f>
        <v>5949</v>
      </c>
      <c r="D160" s="97">
        <v>8837</v>
      </c>
      <c r="E160" s="98">
        <v>15289</v>
      </c>
      <c r="F160" s="97">
        <f>3169-12.6</f>
        <v>3156.4</v>
      </c>
      <c r="G160" s="99"/>
      <c r="H160" s="122"/>
      <c r="I160" s="122"/>
      <c r="J160" s="122"/>
      <c r="K160" s="122"/>
      <c r="L160" s="122"/>
      <c r="M160" s="122"/>
    </row>
    <row r="161" spans="1:13" x14ac:dyDescent="0.25">
      <c r="A161">
        <v>6</v>
      </c>
      <c r="B161" s="96">
        <v>44012</v>
      </c>
      <c r="C161" s="97">
        <f>6796-847</f>
        <v>5949</v>
      </c>
      <c r="D161" s="97">
        <v>8725</v>
      </c>
      <c r="E161" s="98">
        <v>15181</v>
      </c>
      <c r="F161" s="97">
        <f>3140-12.6</f>
        <v>3127.4</v>
      </c>
      <c r="G161" s="99"/>
      <c r="H161" s="122"/>
      <c r="I161" s="122"/>
      <c r="J161" s="122"/>
      <c r="K161" s="122"/>
      <c r="L161" s="122"/>
      <c r="M161" s="122"/>
    </row>
    <row r="162" spans="1:13" x14ac:dyDescent="0.25">
      <c r="A162">
        <v>7</v>
      </c>
      <c r="B162" s="96">
        <v>44014</v>
      </c>
      <c r="C162" s="97">
        <f>6747-847</f>
        <v>5900</v>
      </c>
      <c r="D162" s="97">
        <v>8864</v>
      </c>
      <c r="E162" s="98">
        <v>15126</v>
      </c>
      <c r="F162" s="97">
        <f>3511-12.6</f>
        <v>3498.4</v>
      </c>
      <c r="G162" s="99"/>
      <c r="H162" s="122"/>
      <c r="I162" s="122"/>
      <c r="J162" s="122"/>
      <c r="K162" s="122"/>
      <c r="L162" s="122"/>
      <c r="M162" s="122"/>
    </row>
    <row r="163" spans="1:13" x14ac:dyDescent="0.25">
      <c r="A163">
        <v>7</v>
      </c>
      <c r="B163" s="96">
        <v>44015</v>
      </c>
      <c r="C163" s="97">
        <f>6491-847</f>
        <v>5644</v>
      </c>
      <c r="D163" s="97">
        <v>8735</v>
      </c>
      <c r="E163" s="98">
        <v>15326</v>
      </c>
      <c r="F163" s="97">
        <f>3355-12.6</f>
        <v>3342.4</v>
      </c>
      <c r="G163" s="99"/>
      <c r="H163" s="122"/>
      <c r="I163" s="122"/>
      <c r="J163" s="122"/>
      <c r="K163" s="122"/>
      <c r="L163" s="122"/>
      <c r="M163" s="122"/>
    </row>
    <row r="164" spans="1:13" x14ac:dyDescent="0.25">
      <c r="A164">
        <v>7</v>
      </c>
      <c r="B164" s="96">
        <v>44018</v>
      </c>
      <c r="C164" s="97">
        <f>5877-847.96</f>
        <v>5029.04</v>
      </c>
      <c r="D164" s="97">
        <f>8363-271.68-77</f>
        <v>8014.32</v>
      </c>
      <c r="E164" s="98">
        <v>14628</v>
      </c>
      <c r="F164" s="97">
        <f>3257-12.6</f>
        <v>3244.4</v>
      </c>
      <c r="G164" s="99"/>
      <c r="H164" s="122"/>
      <c r="I164" s="122"/>
      <c r="J164" s="122"/>
      <c r="K164" s="122"/>
      <c r="L164" s="122"/>
      <c r="M164" s="122"/>
    </row>
    <row r="165" spans="1:13" x14ac:dyDescent="0.25">
      <c r="A165">
        <v>7</v>
      </c>
      <c r="B165" s="96">
        <v>44019</v>
      </c>
      <c r="C165" s="97">
        <f>5877-847.96</f>
        <v>5029.04</v>
      </c>
      <c r="D165" s="97">
        <f>8363-271.68-77</f>
        <v>8014.32</v>
      </c>
      <c r="E165" s="98">
        <v>14628</v>
      </c>
      <c r="F165" s="97">
        <f>3212-12.6</f>
        <v>3199.4</v>
      </c>
      <c r="G165" s="99"/>
      <c r="H165" s="122"/>
      <c r="I165" s="122"/>
      <c r="J165" s="122"/>
      <c r="K165" s="122"/>
      <c r="L165" s="122"/>
      <c r="M165" s="122"/>
    </row>
    <row r="166" spans="1:13" x14ac:dyDescent="0.25">
      <c r="A166">
        <v>7</v>
      </c>
      <c r="B166" s="96">
        <v>44020</v>
      </c>
      <c r="C166" s="97">
        <f>5953-847.96</f>
        <v>5105.04</v>
      </c>
      <c r="D166" s="97">
        <f>8407-271.68-77</f>
        <v>8058.32</v>
      </c>
      <c r="E166" s="98">
        <v>15020</v>
      </c>
      <c r="F166" s="97">
        <f>3387-12.6</f>
        <v>3374.4</v>
      </c>
      <c r="G166" s="99"/>
      <c r="H166" s="122"/>
      <c r="I166" s="122"/>
      <c r="J166" s="122"/>
      <c r="K166" s="122"/>
      <c r="L166" s="122"/>
      <c r="M166" s="122"/>
    </row>
    <row r="167" spans="1:13" x14ac:dyDescent="0.25">
      <c r="A167">
        <v>7</v>
      </c>
      <c r="B167" s="96">
        <v>44021</v>
      </c>
      <c r="C167" s="97">
        <f>5774-847.96</f>
        <v>4926.04</v>
      </c>
      <c r="D167" s="435">
        <f>8322-77</f>
        <v>8245</v>
      </c>
      <c r="E167" s="435">
        <f>14447+761-31.85</f>
        <v>15176.15</v>
      </c>
      <c r="F167" s="97">
        <f>3763</f>
        <v>3763</v>
      </c>
      <c r="G167" s="436"/>
      <c r="H167" s="437"/>
      <c r="I167" s="437"/>
      <c r="J167" s="437"/>
      <c r="K167" s="437"/>
      <c r="L167" s="437"/>
      <c r="M167" s="437"/>
    </row>
    <row r="168" spans="1:13" x14ac:dyDescent="0.25">
      <c r="A168">
        <v>7</v>
      </c>
      <c r="B168" s="96">
        <v>44022</v>
      </c>
      <c r="C168" s="97">
        <f>5821-847.96</f>
        <v>4973.04</v>
      </c>
      <c r="D168" s="97">
        <f>8255-77</f>
        <v>8178</v>
      </c>
      <c r="E168" s="97">
        <f>14615+761-31.85</f>
        <v>15344.15</v>
      </c>
      <c r="F168" s="97">
        <f>3669</f>
        <v>3669</v>
      </c>
      <c r="G168" s="99"/>
      <c r="H168" s="122"/>
      <c r="I168" s="122"/>
      <c r="J168" s="122"/>
      <c r="K168" s="122"/>
      <c r="L168" s="122"/>
      <c r="M168" s="122"/>
    </row>
    <row r="169" spans="1:13" x14ac:dyDescent="0.25">
      <c r="A169">
        <v>7</v>
      </c>
      <c r="B169" s="96">
        <v>44025</v>
      </c>
      <c r="C169" s="97">
        <f>6170-847.96</f>
        <v>5322.04</v>
      </c>
      <c r="D169" s="97">
        <f>7991-77</f>
        <v>7914</v>
      </c>
      <c r="E169" s="97">
        <f>14030+761-31.85</f>
        <v>14759.15</v>
      </c>
      <c r="F169" s="97">
        <f>3380</f>
        <v>3380</v>
      </c>
      <c r="G169" s="99"/>
      <c r="H169" s="122"/>
      <c r="I169" s="122"/>
      <c r="J169" s="122"/>
      <c r="K169" s="122"/>
      <c r="L169" s="122"/>
      <c r="M169" s="122"/>
    </row>
    <row r="170" spans="1:13" x14ac:dyDescent="0.25">
      <c r="A170">
        <v>7</v>
      </c>
      <c r="B170" s="96">
        <v>44026</v>
      </c>
      <c r="C170" s="97">
        <f>6170-847.96</f>
        <v>5322.04</v>
      </c>
      <c r="D170" s="97">
        <f>7991-77</f>
        <v>7914</v>
      </c>
      <c r="E170" s="97">
        <f>13998+761-77</f>
        <v>14682</v>
      </c>
      <c r="F170" s="97">
        <f>3375</f>
        <v>3375</v>
      </c>
      <c r="G170" s="99"/>
      <c r="H170" s="122"/>
      <c r="I170" s="122"/>
      <c r="J170" s="122"/>
      <c r="K170" s="122"/>
      <c r="L170" s="122"/>
      <c r="M170" s="122"/>
    </row>
    <row r="171" spans="1:13" x14ac:dyDescent="0.25">
      <c r="A171">
        <v>7</v>
      </c>
      <c r="B171" s="96">
        <v>44027</v>
      </c>
      <c r="C171" s="97">
        <f>6280-847.96</f>
        <v>5432.04</v>
      </c>
      <c r="D171" s="97">
        <f>8244-77</f>
        <v>8167</v>
      </c>
      <c r="E171" s="97">
        <f>14392+761-110</f>
        <v>15043</v>
      </c>
      <c r="F171" s="97">
        <f>3681</f>
        <v>3681</v>
      </c>
      <c r="G171" s="99"/>
      <c r="H171" s="122"/>
      <c r="I171" s="122"/>
      <c r="J171" s="122"/>
      <c r="K171" s="122"/>
      <c r="L171" s="122"/>
      <c r="M171" s="122"/>
    </row>
    <row r="172" spans="1:13" x14ac:dyDescent="0.25">
      <c r="A172">
        <v>7</v>
      </c>
      <c r="B172" s="11">
        <v>44028</v>
      </c>
      <c r="C172" s="10">
        <f>6495-847.96</f>
        <v>5647.04</v>
      </c>
      <c r="D172" s="10">
        <f>7804-77</f>
        <v>7727</v>
      </c>
      <c r="E172" s="10">
        <f>14422+761-131</f>
        <v>15052</v>
      </c>
      <c r="F172" s="10">
        <f>3737</f>
        <v>3737</v>
      </c>
      <c r="G172" s="99"/>
      <c r="H172" s="122"/>
      <c r="I172" s="122"/>
      <c r="J172" s="122"/>
      <c r="K172" s="122"/>
      <c r="L172" s="122"/>
      <c r="M172" s="122"/>
    </row>
    <row r="173" spans="1:13" x14ac:dyDescent="0.25">
      <c r="A173">
        <v>7</v>
      </c>
      <c r="B173" s="96">
        <v>44029</v>
      </c>
      <c r="C173" s="97">
        <f>6389-847.96</f>
        <v>5541.04</v>
      </c>
      <c r="D173" s="97">
        <f>7782-77</f>
        <v>7705</v>
      </c>
      <c r="E173" s="97">
        <f>14537+761-133</f>
        <v>15165</v>
      </c>
      <c r="F173" s="97">
        <f>3621</f>
        <v>3621</v>
      </c>
      <c r="G173" s="99"/>
      <c r="H173" s="122"/>
      <c r="I173" s="122"/>
      <c r="J173" s="122"/>
      <c r="K173" s="122"/>
      <c r="L173" s="122"/>
      <c r="M173" s="122"/>
    </row>
    <row r="174" spans="1:13" x14ac:dyDescent="0.25">
      <c r="A174">
        <v>7</v>
      </c>
      <c r="B174" s="96">
        <v>44032</v>
      </c>
      <c r="C174" s="97">
        <f>6350-847.96</f>
        <v>5502.04</v>
      </c>
      <c r="D174" s="97">
        <f>7593-77</f>
        <v>7516</v>
      </c>
      <c r="E174" s="97">
        <f>14344+761-142</f>
        <v>14963</v>
      </c>
      <c r="F174" s="97">
        <f>3282-88.3</f>
        <v>3193.7</v>
      </c>
      <c r="G174" s="99"/>
      <c r="H174" s="122"/>
      <c r="I174" s="122"/>
      <c r="J174" s="122"/>
      <c r="K174" s="122"/>
      <c r="L174" s="122"/>
      <c r="M174" s="122"/>
    </row>
    <row r="175" spans="1:13" x14ac:dyDescent="0.25">
      <c r="A175">
        <v>7</v>
      </c>
      <c r="B175" s="96">
        <v>44033</v>
      </c>
      <c r="C175" s="97">
        <f>6350-847.96</f>
        <v>5502.04</v>
      </c>
      <c r="D175" s="97">
        <f>7592-77</f>
        <v>7515</v>
      </c>
      <c r="E175" s="97">
        <f>14286+761-175</f>
        <v>14872</v>
      </c>
      <c r="F175" s="97">
        <f>3363-88.3</f>
        <v>3274.7</v>
      </c>
      <c r="G175" s="99"/>
      <c r="H175" s="122"/>
      <c r="I175" s="122"/>
      <c r="J175" s="122"/>
      <c r="K175" s="122"/>
      <c r="L175" s="122"/>
      <c r="M175" s="122"/>
    </row>
    <row r="176" spans="1:13" x14ac:dyDescent="0.25">
      <c r="A176">
        <v>7</v>
      </c>
      <c r="B176" s="96">
        <v>44034</v>
      </c>
      <c r="C176" s="97">
        <f>6632-847.96</f>
        <v>5784.04</v>
      </c>
      <c r="D176" s="97">
        <f>7718-77</f>
        <v>7641</v>
      </c>
      <c r="E176" s="97">
        <f>14740+761-202</f>
        <v>15299</v>
      </c>
      <c r="F176" s="97">
        <f>3670-88.3</f>
        <v>3581.7</v>
      </c>
      <c r="G176" s="99"/>
      <c r="H176" s="122"/>
      <c r="I176" s="122"/>
      <c r="J176" s="122"/>
      <c r="K176" s="122"/>
      <c r="L176" s="122"/>
      <c r="M176" s="122"/>
    </row>
    <row r="177" spans="1:13" x14ac:dyDescent="0.25">
      <c r="A177">
        <v>7</v>
      </c>
      <c r="B177" s="96">
        <v>44035</v>
      </c>
      <c r="C177" s="97">
        <f>6785-847.96</f>
        <v>5937.04</v>
      </c>
      <c r="D177" s="97">
        <f>7708-77</f>
        <v>7631</v>
      </c>
      <c r="E177" s="97">
        <f>14753+761-221</f>
        <v>15293</v>
      </c>
      <c r="F177" s="97">
        <f>3687-88.3</f>
        <v>3598.7</v>
      </c>
      <c r="G177" s="99"/>
      <c r="H177" s="122"/>
      <c r="I177" s="122"/>
      <c r="J177" s="122"/>
      <c r="K177" s="122"/>
      <c r="L177" s="122"/>
      <c r="M177" s="122"/>
    </row>
    <row r="178" spans="1:13" x14ac:dyDescent="0.25">
      <c r="A178">
        <v>7</v>
      </c>
      <c r="B178" s="96">
        <v>44036</v>
      </c>
      <c r="C178" s="97">
        <f>6906-847.96</f>
        <v>6058.04</v>
      </c>
      <c r="D178" s="97">
        <f>7681-77</f>
        <v>7604</v>
      </c>
      <c r="E178" s="97">
        <f>14946+761-244</f>
        <v>15463</v>
      </c>
      <c r="F178" s="97">
        <f>3509-88.3</f>
        <v>3420.7</v>
      </c>
      <c r="G178" s="99"/>
      <c r="H178" s="122"/>
      <c r="I178" s="122"/>
      <c r="J178" s="122"/>
      <c r="K178" s="122"/>
      <c r="L178" s="122"/>
      <c r="M178" s="122"/>
    </row>
    <row r="179" spans="1:13" x14ac:dyDescent="0.25">
      <c r="A179">
        <v>7</v>
      </c>
      <c r="B179" s="11">
        <v>44039</v>
      </c>
      <c r="C179" s="10">
        <f>7197-847.96</f>
        <v>6349.04</v>
      </c>
      <c r="D179" s="10">
        <f>7319-77</f>
        <v>7242</v>
      </c>
      <c r="E179" s="10">
        <f>14842+761-270</f>
        <v>15333</v>
      </c>
      <c r="F179" s="10">
        <f>3154-88.3</f>
        <v>3065.7</v>
      </c>
      <c r="G179" s="99"/>
      <c r="H179" s="122"/>
      <c r="I179" s="122"/>
      <c r="J179" s="122"/>
      <c r="K179" s="122"/>
      <c r="L179" s="122"/>
      <c r="M179" s="122"/>
    </row>
    <row r="180" spans="1:13" x14ac:dyDescent="0.25">
      <c r="A180">
        <v>7</v>
      </c>
      <c r="B180" s="96">
        <v>44040</v>
      </c>
      <c r="C180" s="97">
        <f>7197-847.96</f>
        <v>6349.04</v>
      </c>
      <c r="D180" s="97">
        <f>7319-77</f>
        <v>7242</v>
      </c>
      <c r="E180" s="97">
        <f>14776+761-294</f>
        <v>15243</v>
      </c>
      <c r="F180" s="97">
        <f>3149-87.96</f>
        <v>3061.04</v>
      </c>
      <c r="G180" s="99"/>
      <c r="H180" s="122"/>
      <c r="I180" s="122"/>
      <c r="J180" s="122"/>
      <c r="K180" s="122"/>
      <c r="L180" s="122"/>
      <c r="M180" s="122"/>
    </row>
    <row r="181" spans="1:13" x14ac:dyDescent="0.25">
      <c r="A181">
        <v>7</v>
      </c>
      <c r="B181" s="96">
        <v>44041</v>
      </c>
      <c r="C181" s="97">
        <f>7255-847.96</f>
        <v>6407.04</v>
      </c>
      <c r="D181" s="97">
        <f>7318-77</f>
        <v>7241</v>
      </c>
      <c r="E181" s="97">
        <f>15265+761-338</f>
        <v>15688</v>
      </c>
      <c r="F181" s="97">
        <f>3438-87.6</f>
        <v>3350.4</v>
      </c>
      <c r="G181" s="99"/>
      <c r="H181" s="122"/>
      <c r="I181" s="122"/>
      <c r="J181" s="122"/>
      <c r="K181" s="122"/>
      <c r="L181" s="122"/>
      <c r="M181" s="122"/>
    </row>
    <row r="182" spans="1:13" x14ac:dyDescent="0.25">
      <c r="A182" t="s">
        <v>235</v>
      </c>
      <c r="B182" s="96">
        <v>44047</v>
      </c>
      <c r="C182" s="97">
        <f>7750-847.96</f>
        <v>6902.04</v>
      </c>
      <c r="D182" s="97">
        <f>7139-77</f>
        <v>7062</v>
      </c>
      <c r="E182" s="97">
        <f>15179+761-368</f>
        <v>15572</v>
      </c>
      <c r="F182" s="97">
        <f>3017-87.6</f>
        <v>2929.4</v>
      </c>
      <c r="G182" s="99"/>
      <c r="H182" s="122"/>
      <c r="I182" s="122"/>
      <c r="J182" s="122"/>
      <c r="K182" s="122"/>
      <c r="L182" s="122"/>
      <c r="M182" s="122"/>
    </row>
    <row r="183" spans="1:13" x14ac:dyDescent="0.25">
      <c r="A183" t="s">
        <v>235</v>
      </c>
      <c r="B183" s="96">
        <v>44048</v>
      </c>
      <c r="C183" s="97">
        <f>7183-847.96</f>
        <v>6335.04</v>
      </c>
      <c r="D183" s="97">
        <f>7139-77</f>
        <v>7062</v>
      </c>
      <c r="E183" s="97">
        <f>15346+761-413</f>
        <v>15694</v>
      </c>
      <c r="F183" s="97">
        <f>3017-87.6</f>
        <v>2929.4</v>
      </c>
      <c r="G183" s="99"/>
      <c r="H183" s="122"/>
      <c r="I183" s="122"/>
      <c r="J183" s="122"/>
      <c r="K183" s="122"/>
      <c r="L183" s="122"/>
      <c r="M183" s="122"/>
    </row>
    <row r="184" spans="1:13" x14ac:dyDescent="0.25">
      <c r="A184" t="s">
        <v>235</v>
      </c>
      <c r="B184" s="96">
        <v>44050</v>
      </c>
      <c r="C184" s="97">
        <f>7099-847.96</f>
        <v>6251.04</v>
      </c>
      <c r="D184" s="97">
        <f>7048-77</f>
        <v>6971</v>
      </c>
      <c r="E184" s="97">
        <f>15354+761-444</f>
        <v>15671</v>
      </c>
      <c r="F184" s="97">
        <f>3240-87.6</f>
        <v>3152.4</v>
      </c>
      <c r="G184" s="99"/>
      <c r="H184" s="122"/>
      <c r="I184" s="122"/>
      <c r="J184" s="122"/>
      <c r="K184" s="122"/>
      <c r="L184" s="122"/>
      <c r="M184" s="122"/>
    </row>
    <row r="185" spans="1:13" x14ac:dyDescent="0.25">
      <c r="A185" t="s">
        <v>235</v>
      </c>
      <c r="B185" s="96">
        <v>44053</v>
      </c>
      <c r="C185" s="97">
        <f>6926-847.96</f>
        <v>6078.04</v>
      </c>
      <c r="D185" s="97">
        <f>7231-77</f>
        <v>7154</v>
      </c>
      <c r="E185" s="97">
        <f>15528+761-435</f>
        <v>15854</v>
      </c>
      <c r="F185" s="97">
        <f>3433-87.6</f>
        <v>3345.4</v>
      </c>
      <c r="G185" s="99"/>
      <c r="H185" s="122"/>
      <c r="I185" s="122"/>
      <c r="J185" s="122"/>
      <c r="K185" s="122"/>
      <c r="L185" s="122"/>
      <c r="M185" s="122"/>
    </row>
    <row r="186" spans="1:13" x14ac:dyDescent="0.25">
      <c r="A186" t="s">
        <v>235</v>
      </c>
      <c r="B186" s="96">
        <v>44054</v>
      </c>
      <c r="C186" s="97">
        <f>6926-847.96</f>
        <v>6078.04</v>
      </c>
      <c r="D186" s="97">
        <f>7141-77</f>
        <v>7064</v>
      </c>
      <c r="E186" s="97">
        <f>15087+761-468</f>
        <v>15380</v>
      </c>
      <c r="F186" s="97">
        <f>3193-87.6</f>
        <v>3105.4</v>
      </c>
      <c r="G186" s="99"/>
      <c r="H186" s="122"/>
      <c r="I186" s="122"/>
      <c r="J186" s="122"/>
      <c r="K186" s="122"/>
      <c r="L186" s="122"/>
      <c r="M186" s="122"/>
    </row>
    <row r="187" spans="1:13" x14ac:dyDescent="0.25">
      <c r="A187" t="s">
        <v>235</v>
      </c>
      <c r="B187" s="96">
        <v>44055</v>
      </c>
      <c r="C187" s="97">
        <f>6860-847.96</f>
        <v>6012.04</v>
      </c>
      <c r="D187" s="97">
        <f>7137-77</f>
        <v>7060</v>
      </c>
      <c r="E187" s="97">
        <f>15207+761-498</f>
        <v>15470</v>
      </c>
      <c r="F187" s="97">
        <f>3262-84.86</f>
        <v>3177.14</v>
      </c>
      <c r="G187" s="99"/>
      <c r="H187" s="122"/>
      <c r="I187" s="122"/>
      <c r="J187" s="122"/>
      <c r="K187" s="122"/>
      <c r="L187" s="122"/>
      <c r="M187" s="122"/>
    </row>
    <row r="188" spans="1:13" x14ac:dyDescent="0.25">
      <c r="A188" t="s">
        <v>235</v>
      </c>
      <c r="B188" s="96">
        <v>44056</v>
      </c>
      <c r="C188" s="97">
        <f>7116-847.96</f>
        <v>6268.04</v>
      </c>
      <c r="D188" s="97">
        <f>7229-77</f>
        <v>7152</v>
      </c>
      <c r="E188" s="97">
        <f>15044+761-516</f>
        <v>15289</v>
      </c>
      <c r="F188" s="97">
        <f>3326-83.6</f>
        <v>3242.4</v>
      </c>
      <c r="G188" s="99"/>
      <c r="H188" s="122"/>
      <c r="I188" s="122"/>
      <c r="J188" s="122"/>
      <c r="K188" s="122"/>
      <c r="L188" s="122"/>
      <c r="M188" s="122"/>
    </row>
    <row r="189" spans="1:13" x14ac:dyDescent="0.25">
      <c r="A189" t="s">
        <v>235</v>
      </c>
      <c r="B189" s="96">
        <v>44057</v>
      </c>
      <c r="C189" s="97">
        <f>7355-847.96</f>
        <v>6507.04</v>
      </c>
      <c r="D189" s="97">
        <f>7257</f>
        <v>7257</v>
      </c>
      <c r="E189" s="97">
        <f>15178+761-532</f>
        <v>15407</v>
      </c>
      <c r="F189" s="97">
        <f>3171-83.6</f>
        <v>3087.4</v>
      </c>
      <c r="G189" s="99"/>
      <c r="H189" s="122"/>
      <c r="I189" s="122"/>
      <c r="J189" s="122"/>
      <c r="K189" s="122"/>
      <c r="L189" s="122"/>
      <c r="M189" s="122"/>
    </row>
    <row r="190" spans="1:13" x14ac:dyDescent="0.25">
      <c r="A190" t="s">
        <v>235</v>
      </c>
      <c r="B190" s="96">
        <v>44060</v>
      </c>
      <c r="C190" s="97">
        <f>7569-847.96</f>
        <v>6721.04</v>
      </c>
      <c r="D190" s="97">
        <v>6792</v>
      </c>
      <c r="E190" s="97">
        <f>14755+761-536</f>
        <v>14980</v>
      </c>
      <c r="F190" s="97">
        <f>2751-83.6</f>
        <v>2667.4</v>
      </c>
      <c r="G190" s="99"/>
      <c r="H190" s="122"/>
      <c r="I190" s="122"/>
      <c r="J190" s="122"/>
      <c r="K190" s="122"/>
      <c r="L190" s="122"/>
      <c r="M190" s="122"/>
    </row>
    <row r="191" spans="1:13" x14ac:dyDescent="0.25">
      <c r="A191" t="s">
        <v>235</v>
      </c>
      <c r="B191" s="96">
        <v>44061</v>
      </c>
      <c r="C191" s="97">
        <f>7552-847.96</f>
        <v>6704.04</v>
      </c>
      <c r="D191" s="97">
        <v>6792</v>
      </c>
      <c r="E191" s="97">
        <f>14735+761-605</f>
        <v>14891</v>
      </c>
      <c r="F191" s="97">
        <f>2751-83.6</f>
        <v>2667.4</v>
      </c>
      <c r="G191" s="99"/>
      <c r="H191" s="122"/>
      <c r="I191" s="122"/>
      <c r="J191" s="122"/>
      <c r="K191" s="122"/>
      <c r="L191" s="122"/>
      <c r="M191" s="122"/>
    </row>
    <row r="192" spans="1:13" x14ac:dyDescent="0.25">
      <c r="A192" t="s">
        <v>235</v>
      </c>
      <c r="B192" s="96">
        <v>44062</v>
      </c>
      <c r="C192" s="97">
        <f>7511</f>
        <v>7511</v>
      </c>
      <c r="D192" s="97">
        <v>6936</v>
      </c>
      <c r="E192" s="97">
        <f>15149+761-637</f>
        <v>15273</v>
      </c>
      <c r="F192" s="97">
        <f>3039-83.6</f>
        <v>2955.4</v>
      </c>
      <c r="G192" s="99"/>
      <c r="H192" s="122"/>
      <c r="I192" s="122"/>
      <c r="J192" s="122"/>
      <c r="K192" s="122"/>
      <c r="L192" s="122"/>
      <c r="M192" s="122"/>
    </row>
    <row r="193" spans="1:13" x14ac:dyDescent="0.25">
      <c r="A193" t="s">
        <v>235</v>
      </c>
      <c r="B193" s="96">
        <v>44063</v>
      </c>
      <c r="C193" s="97">
        <f>6666</f>
        <v>6666</v>
      </c>
      <c r="D193" s="97">
        <v>6924</v>
      </c>
      <c r="E193" s="97">
        <f>15071+761-627</f>
        <v>15205</v>
      </c>
      <c r="F193" s="97">
        <f>2900-83.6</f>
        <v>2816.4</v>
      </c>
      <c r="G193" s="99"/>
      <c r="H193" s="122"/>
      <c r="I193" s="122"/>
      <c r="J193" s="122"/>
      <c r="K193" s="122"/>
      <c r="L193" s="122"/>
      <c r="M193" s="122"/>
    </row>
    <row r="194" spans="1:13" x14ac:dyDescent="0.25">
      <c r="A194" t="s">
        <v>235</v>
      </c>
      <c r="B194" s="96">
        <v>44064</v>
      </c>
      <c r="C194" s="97">
        <f>6668</f>
        <v>6668</v>
      </c>
      <c r="D194" s="97">
        <v>6858</v>
      </c>
      <c r="E194" s="97">
        <f>15182+761-643</f>
        <v>15300</v>
      </c>
      <c r="F194" s="97">
        <f>2766-83.6</f>
        <v>2682.4</v>
      </c>
      <c r="G194" s="99"/>
      <c r="H194" s="122"/>
      <c r="I194" s="122"/>
      <c r="J194" s="122"/>
      <c r="K194" s="122"/>
      <c r="L194" s="122"/>
      <c r="M194" s="122"/>
    </row>
    <row r="195" spans="1:13" x14ac:dyDescent="0.25">
      <c r="A195" t="s">
        <v>235</v>
      </c>
      <c r="B195" s="11">
        <v>44067</v>
      </c>
      <c r="C195" s="10">
        <f>7215</f>
        <v>7215</v>
      </c>
      <c r="D195" s="10">
        <v>6601</v>
      </c>
      <c r="E195" s="10">
        <f>15559+761-674</f>
        <v>15646</v>
      </c>
      <c r="F195" s="10">
        <f>2571-83.6</f>
        <v>2487.4</v>
      </c>
      <c r="G195" s="99"/>
      <c r="H195" s="122"/>
      <c r="I195" s="122"/>
      <c r="J195" s="122"/>
      <c r="K195" s="122"/>
      <c r="L195" s="122"/>
      <c r="M195" s="122"/>
    </row>
    <row r="196" spans="1:13" x14ac:dyDescent="0.25">
      <c r="A196" t="s">
        <v>235</v>
      </c>
      <c r="B196" s="96">
        <v>44068</v>
      </c>
      <c r="C196" s="97">
        <f>7310</f>
        <v>7310</v>
      </c>
      <c r="D196" s="435">
        <v>6573</v>
      </c>
      <c r="E196" s="435">
        <f>15407+761-729</f>
        <v>15439</v>
      </c>
      <c r="F196" s="97">
        <f>2571-77.79</f>
        <v>2493.21</v>
      </c>
      <c r="G196" s="436"/>
      <c r="H196" s="437"/>
      <c r="I196" s="437"/>
      <c r="J196" s="437"/>
      <c r="K196" s="437"/>
      <c r="L196" s="437"/>
      <c r="M196" s="437"/>
    </row>
    <row r="197" spans="1:13" x14ac:dyDescent="0.25">
      <c r="A197" t="s">
        <v>235</v>
      </c>
      <c r="B197" s="96">
        <v>44069</v>
      </c>
      <c r="C197" s="97">
        <f>7129</f>
        <v>7129</v>
      </c>
      <c r="D197" s="97">
        <v>6584</v>
      </c>
      <c r="E197" s="97">
        <f>15684+761-750</f>
        <v>15695</v>
      </c>
      <c r="F197" s="97">
        <f>2687-75.53</f>
        <v>2611.4699999999998</v>
      </c>
      <c r="G197" s="99"/>
      <c r="H197" s="122"/>
      <c r="I197" s="122"/>
      <c r="J197" s="122"/>
      <c r="K197" s="122"/>
      <c r="L197" s="122"/>
      <c r="M197" s="122"/>
    </row>
    <row r="198" spans="1:13" x14ac:dyDescent="0.25">
      <c r="A198" s="143" t="s">
        <v>235</v>
      </c>
      <c r="B198" s="144">
        <v>44071</v>
      </c>
      <c r="C198" s="145">
        <f>7320-286</f>
        <v>7034</v>
      </c>
      <c r="D198" s="145">
        <f>6542+286</f>
        <v>6828</v>
      </c>
      <c r="E198" s="145">
        <f>15964+761-775</f>
        <v>15950</v>
      </c>
      <c r="F198" s="145">
        <f>2845-75.35</f>
        <v>2769.65</v>
      </c>
      <c r="G198" s="146"/>
      <c r="H198" s="318"/>
      <c r="I198" s="318"/>
      <c r="J198" s="318"/>
      <c r="K198" s="318"/>
      <c r="L198" s="318"/>
      <c r="M198" s="318"/>
    </row>
    <row r="199" spans="1:13" x14ac:dyDescent="0.25">
      <c r="A199" t="s">
        <v>235</v>
      </c>
      <c r="B199" s="96">
        <v>44074</v>
      </c>
      <c r="C199" s="97">
        <f>7733-281</f>
        <v>7452</v>
      </c>
      <c r="D199" s="97">
        <f>6432+281</f>
        <v>6713</v>
      </c>
      <c r="E199" s="97">
        <f>16160+761-711</f>
        <v>16210</v>
      </c>
      <c r="F199" s="97">
        <f>2643-75.35</f>
        <v>2567.65</v>
      </c>
      <c r="G199" s="99"/>
      <c r="H199" s="122"/>
      <c r="I199" s="122"/>
      <c r="J199" s="122"/>
      <c r="K199" s="122"/>
      <c r="L199" s="122"/>
      <c r="M199" s="122"/>
    </row>
    <row r="200" spans="1:13" x14ac:dyDescent="0.25">
      <c r="A200" t="s">
        <v>236</v>
      </c>
      <c r="B200" s="96">
        <v>44076</v>
      </c>
      <c r="C200" s="97">
        <f>7095-281.4</f>
        <v>6813.6</v>
      </c>
      <c r="D200" s="97">
        <f>6466+281.4</f>
        <v>6747.4</v>
      </c>
      <c r="E200" s="97">
        <f>15897+761-723</f>
        <v>15935</v>
      </c>
      <c r="F200" s="97">
        <f>2841-74.65</f>
        <v>2766.35</v>
      </c>
      <c r="G200" s="99"/>
      <c r="H200" s="122"/>
      <c r="I200" s="122"/>
      <c r="J200" s="122"/>
      <c r="K200" s="122"/>
      <c r="L200" s="122"/>
      <c r="M200" s="122"/>
    </row>
    <row r="201" spans="1:13" x14ac:dyDescent="0.25">
      <c r="A201" t="s">
        <v>236</v>
      </c>
      <c r="B201" s="96">
        <v>44077</v>
      </c>
      <c r="C201" s="97">
        <f>7085-281.4</f>
        <v>6803.6</v>
      </c>
      <c r="D201" s="97">
        <f>6244+281.4</f>
        <v>6525.4</v>
      </c>
      <c r="E201" s="97">
        <f>15567+761-774</f>
        <v>15554</v>
      </c>
      <c r="F201" s="97">
        <f>2544-74.65</f>
        <v>2469.35</v>
      </c>
      <c r="G201" s="99"/>
      <c r="H201" s="122"/>
      <c r="I201" s="122"/>
      <c r="J201" s="122"/>
      <c r="K201" s="122"/>
      <c r="L201" s="122"/>
      <c r="M201" s="122"/>
    </row>
    <row r="202" spans="1:13" x14ac:dyDescent="0.25">
      <c r="A202" t="s">
        <v>236</v>
      </c>
      <c r="B202" s="96">
        <v>44078</v>
      </c>
      <c r="C202" s="97">
        <f>6974-281.4</f>
        <v>6692.6</v>
      </c>
      <c r="D202" s="97">
        <f>6339+281.4</f>
        <v>6620.4</v>
      </c>
      <c r="E202" s="97">
        <f>16058+761-799</f>
        <v>16020</v>
      </c>
      <c r="F202" s="97">
        <f>2612-74.65</f>
        <v>2537.35</v>
      </c>
      <c r="G202" s="99"/>
      <c r="H202" s="122"/>
      <c r="I202" s="122"/>
      <c r="J202" s="122"/>
      <c r="K202" s="122"/>
      <c r="L202" s="122"/>
      <c r="M202" s="122"/>
    </row>
    <row r="203" spans="1:13" x14ac:dyDescent="0.25">
      <c r="A203" t="s">
        <v>236</v>
      </c>
      <c r="B203" s="96">
        <v>44081</v>
      </c>
      <c r="C203" s="97">
        <f>7886-256</f>
        <v>7630</v>
      </c>
      <c r="D203" s="97">
        <f>6139+256</f>
        <v>6395</v>
      </c>
      <c r="E203" s="97">
        <f>15648+761-782</f>
        <v>15627</v>
      </c>
      <c r="F203" s="97">
        <f>2704-74.65</f>
        <v>2629.35</v>
      </c>
      <c r="G203" s="99"/>
      <c r="H203" s="122"/>
      <c r="I203" s="122"/>
      <c r="J203" s="122"/>
      <c r="K203" s="122"/>
      <c r="L203" s="122"/>
      <c r="M203" s="122"/>
    </row>
    <row r="204" spans="1:13" x14ac:dyDescent="0.25">
      <c r="A204" t="s">
        <v>236</v>
      </c>
      <c r="B204" s="96">
        <v>44082</v>
      </c>
      <c r="C204" s="97">
        <f>7668-256</f>
        <v>7412</v>
      </c>
      <c r="D204" s="97">
        <f>6039+256</f>
        <v>6295</v>
      </c>
      <c r="E204" s="97">
        <f>15609+761-830</f>
        <v>15540</v>
      </c>
      <c r="F204" s="97">
        <f>2704-63.5</f>
        <v>2640.5</v>
      </c>
      <c r="G204" s="99"/>
      <c r="H204" s="122"/>
      <c r="I204" s="122"/>
      <c r="J204" s="122"/>
      <c r="K204" s="122"/>
      <c r="L204" s="122"/>
      <c r="M204" s="122"/>
    </row>
    <row r="205" spans="1:13" x14ac:dyDescent="0.25">
      <c r="A205" t="s">
        <v>236</v>
      </c>
      <c r="B205" s="96">
        <v>44084</v>
      </c>
      <c r="C205" s="97">
        <f>7388-256</f>
        <v>7132</v>
      </c>
      <c r="D205" s="97">
        <f>6124+256</f>
        <v>6380</v>
      </c>
      <c r="E205" s="97">
        <f>16086+761-864</f>
        <v>15983</v>
      </c>
      <c r="F205" s="97">
        <f>2936-58.55</f>
        <v>2877.45</v>
      </c>
      <c r="G205" s="99"/>
      <c r="H205" s="122"/>
      <c r="I205" s="122"/>
      <c r="J205" s="122"/>
      <c r="K205" s="122"/>
      <c r="L205" s="122"/>
      <c r="M205" s="122"/>
    </row>
    <row r="206" spans="1:13" x14ac:dyDescent="0.25">
      <c r="A206" t="s">
        <v>236</v>
      </c>
      <c r="B206" s="96">
        <v>44085</v>
      </c>
      <c r="C206" s="97">
        <f>7210-256</f>
        <v>6954</v>
      </c>
      <c r="D206" s="97">
        <f>6009+256</f>
        <v>6265</v>
      </c>
      <c r="E206" s="97">
        <f>16480+761-866</f>
        <v>16375</v>
      </c>
      <c r="F206" s="97">
        <f>2927-58.55</f>
        <v>2868.45</v>
      </c>
      <c r="G206" s="99"/>
      <c r="H206" s="122"/>
      <c r="I206" s="122"/>
      <c r="J206" s="122"/>
      <c r="K206" s="122"/>
      <c r="L206" s="122"/>
      <c r="M206" s="122"/>
    </row>
    <row r="207" spans="1:13" x14ac:dyDescent="0.25">
      <c r="A207" t="s">
        <v>236</v>
      </c>
      <c r="B207" s="11">
        <v>44088</v>
      </c>
      <c r="C207" s="10">
        <f>7174-242</f>
        <v>6932</v>
      </c>
      <c r="D207" s="10">
        <f>5675+242</f>
        <v>5917</v>
      </c>
      <c r="E207" s="10">
        <f>16401+761-848</f>
        <v>16314</v>
      </c>
      <c r="F207" s="10">
        <f>2827-54.7</f>
        <v>2772.3</v>
      </c>
      <c r="G207" s="99"/>
      <c r="H207" s="122"/>
      <c r="I207" s="122"/>
      <c r="J207" s="122"/>
      <c r="K207" s="122"/>
      <c r="L207" s="122"/>
      <c r="M207" s="122"/>
    </row>
    <row r="208" spans="1:13" x14ac:dyDescent="0.25">
      <c r="A208" t="s">
        <v>236</v>
      </c>
      <c r="B208" s="96">
        <v>44089</v>
      </c>
      <c r="C208" s="97">
        <f>7403-242</f>
        <v>7161</v>
      </c>
      <c r="D208" s="97">
        <f>5587+242</f>
        <v>5829</v>
      </c>
      <c r="E208" s="97">
        <f>16253+761-888</f>
        <v>16126</v>
      </c>
      <c r="F208" s="97">
        <f>2571-54.7</f>
        <v>2516.3000000000002</v>
      </c>
      <c r="G208" s="99"/>
      <c r="H208" s="122"/>
      <c r="I208" s="122"/>
      <c r="J208" s="122"/>
      <c r="K208" s="122"/>
      <c r="L208" s="122"/>
      <c r="M208" s="122"/>
    </row>
    <row r="209" spans="1:13" x14ac:dyDescent="0.25">
      <c r="A209" t="s">
        <v>236</v>
      </c>
      <c r="B209" s="96">
        <v>44090</v>
      </c>
      <c r="C209" s="97">
        <f>7670-242</f>
        <v>7428</v>
      </c>
      <c r="D209" s="97">
        <f>5633+242</f>
        <v>5875</v>
      </c>
      <c r="E209" s="97">
        <f>16368+761-891</f>
        <v>16238</v>
      </c>
      <c r="F209" s="97">
        <f>2714-54.7</f>
        <v>2659.3</v>
      </c>
      <c r="G209" s="99"/>
      <c r="H209" s="122"/>
      <c r="I209" s="122"/>
      <c r="J209" s="122"/>
      <c r="K209" s="122"/>
      <c r="L209" s="122"/>
      <c r="M209" s="122"/>
    </row>
    <row r="210" spans="1:13" x14ac:dyDescent="0.25">
      <c r="A210" t="s">
        <v>236</v>
      </c>
      <c r="B210" s="96">
        <v>44091</v>
      </c>
      <c r="C210" s="97">
        <f>7308-242</f>
        <v>7066</v>
      </c>
      <c r="D210" s="97">
        <f>5512+242</f>
        <v>5754</v>
      </c>
      <c r="E210" s="97">
        <f>16720+761-903</f>
        <v>16578</v>
      </c>
      <c r="F210" s="97">
        <f>2737-54.7</f>
        <v>2682.3</v>
      </c>
      <c r="G210" s="99"/>
      <c r="H210" s="122"/>
      <c r="I210" s="122"/>
      <c r="J210" s="122"/>
      <c r="K210" s="122"/>
      <c r="L210" s="122"/>
      <c r="M210" s="122"/>
    </row>
    <row r="211" spans="1:13" x14ac:dyDescent="0.25">
      <c r="A211" t="s">
        <v>236</v>
      </c>
      <c r="B211" s="96">
        <v>44092</v>
      </c>
      <c r="C211" s="97">
        <f>6937-242</f>
        <v>6695</v>
      </c>
      <c r="D211" s="97">
        <f>5438+242</f>
        <v>5680</v>
      </c>
      <c r="E211" s="97">
        <f>16720+761-903</f>
        <v>16578</v>
      </c>
      <c r="F211" s="97">
        <f>3022-54.7</f>
        <v>2967.3</v>
      </c>
      <c r="G211" s="99"/>
      <c r="H211" s="122"/>
      <c r="I211" s="122"/>
      <c r="J211" s="122"/>
      <c r="K211" s="122"/>
      <c r="L211" s="122"/>
      <c r="M211" s="122"/>
    </row>
    <row r="212" spans="1:13" x14ac:dyDescent="0.25">
      <c r="A212" t="s">
        <v>236</v>
      </c>
      <c r="B212" s="96">
        <v>44095</v>
      </c>
      <c r="C212" s="97">
        <f>7577-234</f>
        <v>7343</v>
      </c>
      <c r="D212" s="97">
        <f>5419+234</f>
        <v>5653</v>
      </c>
      <c r="E212" s="97">
        <f>17023+761-896</f>
        <v>16888</v>
      </c>
      <c r="F212" s="97">
        <f>3107-132.59</f>
        <v>2974.41</v>
      </c>
      <c r="G212" s="99"/>
      <c r="H212" s="122"/>
      <c r="I212" s="122"/>
      <c r="J212" s="122"/>
      <c r="K212" s="122"/>
      <c r="L212" s="122"/>
      <c r="M212" s="122"/>
    </row>
    <row r="213" spans="1:13" x14ac:dyDescent="0.25">
      <c r="A213" t="s">
        <v>236</v>
      </c>
      <c r="B213" s="96">
        <v>44096</v>
      </c>
      <c r="C213" s="97">
        <f>7312-234</f>
        <v>7078</v>
      </c>
      <c r="D213" s="97">
        <f>5419+234</f>
        <v>5653</v>
      </c>
      <c r="E213" s="97">
        <f>16861+761-926</f>
        <v>16696</v>
      </c>
      <c r="F213" s="97">
        <f>3206-131.15</f>
        <v>3074.85</v>
      </c>
      <c r="G213" s="99"/>
      <c r="H213" s="122"/>
      <c r="I213" s="122"/>
      <c r="J213" s="122"/>
      <c r="K213" s="122"/>
      <c r="L213" s="122"/>
      <c r="M213" s="122"/>
    </row>
    <row r="214" spans="1:13" x14ac:dyDescent="0.25">
      <c r="A214" s="143" t="s">
        <v>236</v>
      </c>
      <c r="B214" s="144">
        <v>44097</v>
      </c>
      <c r="C214" s="145">
        <f>6916-234</f>
        <v>6682</v>
      </c>
      <c r="D214" s="145">
        <f>5573+234</f>
        <v>5807</v>
      </c>
      <c r="E214" s="145">
        <f>17148+761-923</f>
        <v>16986</v>
      </c>
      <c r="F214" s="145">
        <f>3558-131.15</f>
        <v>3426.85</v>
      </c>
      <c r="G214" s="146"/>
      <c r="H214" s="318"/>
      <c r="I214" s="318"/>
      <c r="J214" s="318"/>
      <c r="K214" s="318"/>
      <c r="L214" s="318"/>
      <c r="M214" s="318"/>
    </row>
    <row r="215" spans="1:13" x14ac:dyDescent="0.25">
      <c r="A215" t="s">
        <v>236</v>
      </c>
      <c r="B215" s="96">
        <v>44098</v>
      </c>
      <c r="C215" s="97">
        <f>7417-234</f>
        <v>7183</v>
      </c>
      <c r="D215" s="97">
        <f>5672+234</f>
        <v>5906</v>
      </c>
      <c r="E215" s="97">
        <f>17087+761-923</f>
        <v>16925</v>
      </c>
      <c r="F215" s="97">
        <f>3537-131.15</f>
        <v>3405.85</v>
      </c>
      <c r="G215" s="99"/>
      <c r="H215" s="122"/>
      <c r="I215" s="122"/>
      <c r="J215" s="122"/>
      <c r="K215" s="122"/>
      <c r="L215" s="122"/>
      <c r="M215" s="122"/>
    </row>
    <row r="216" spans="1:13" x14ac:dyDescent="0.25">
      <c r="A216" t="s">
        <v>236</v>
      </c>
      <c r="B216" s="96">
        <v>44099</v>
      </c>
      <c r="C216" s="97">
        <f>7273-234</f>
        <v>7039</v>
      </c>
      <c r="D216" s="97">
        <f>5588+234</f>
        <v>5822</v>
      </c>
      <c r="E216" s="97">
        <f>16764+761-924</f>
        <v>16601</v>
      </c>
      <c r="F216" s="97">
        <f>3506-131.15</f>
        <v>3374.85</v>
      </c>
      <c r="G216" s="99"/>
      <c r="H216" s="122"/>
      <c r="I216" s="122"/>
      <c r="J216" s="122"/>
      <c r="K216" s="122"/>
      <c r="L216" s="122"/>
      <c r="M216" s="122"/>
    </row>
    <row r="217" spans="1:13" x14ac:dyDescent="0.25">
      <c r="A217" t="s">
        <v>236</v>
      </c>
      <c r="B217" s="96">
        <v>44102</v>
      </c>
      <c r="C217" s="97">
        <f>6868-226</f>
        <v>6642</v>
      </c>
      <c r="D217" s="97">
        <f>5294+226</f>
        <v>5520</v>
      </c>
      <c r="E217" s="97">
        <f>16200+761-914</f>
        <v>16047</v>
      </c>
      <c r="F217" s="97">
        <f>3219-124.85</f>
        <v>3094.15</v>
      </c>
      <c r="G217" s="99"/>
      <c r="H217" s="122"/>
      <c r="I217" s="122"/>
      <c r="J217" s="122"/>
      <c r="K217" s="122"/>
      <c r="L217" s="122"/>
      <c r="M217" s="122"/>
    </row>
    <row r="218" spans="1:13" x14ac:dyDescent="0.25">
      <c r="A218" t="s">
        <v>236</v>
      </c>
      <c r="B218" s="11">
        <v>44103</v>
      </c>
      <c r="C218" s="10">
        <f>6937-226</f>
        <v>6711</v>
      </c>
      <c r="D218" s="10">
        <f>5273+226</f>
        <v>5499</v>
      </c>
      <c r="E218" s="10">
        <f>16055+761-915</f>
        <v>15901</v>
      </c>
      <c r="F218" s="10">
        <f>3877-124.01</f>
        <v>3752.99</v>
      </c>
      <c r="G218" s="99"/>
      <c r="H218" s="122"/>
      <c r="I218" s="122"/>
      <c r="J218" s="122"/>
      <c r="K218" s="122"/>
      <c r="L218" s="122"/>
      <c r="M218" s="122"/>
    </row>
    <row r="219" spans="1:13" x14ac:dyDescent="0.25">
      <c r="A219" t="s">
        <v>236</v>
      </c>
      <c r="B219" s="11">
        <v>44104</v>
      </c>
      <c r="C219" s="10">
        <f>6746-226</f>
        <v>6520</v>
      </c>
      <c r="D219" s="10">
        <f>5311+226</f>
        <v>5537</v>
      </c>
      <c r="E219" s="10">
        <f>16141+761-858</f>
        <v>16044</v>
      </c>
      <c r="F219" s="10">
        <f>3969-122.75</f>
        <v>3846.25</v>
      </c>
      <c r="G219" s="99"/>
      <c r="H219" s="122"/>
      <c r="I219" s="122"/>
      <c r="J219" s="122"/>
      <c r="K219" s="122"/>
      <c r="L219" s="122"/>
      <c r="M219" s="122"/>
    </row>
    <row r="220" spans="1:13" x14ac:dyDescent="0.25">
      <c r="A220" t="s">
        <v>237</v>
      </c>
      <c r="B220" s="96">
        <v>44106</v>
      </c>
      <c r="C220" s="97">
        <f>7166-219.45</f>
        <v>6946.55</v>
      </c>
      <c r="D220" s="97">
        <f>5324+219.45</f>
        <v>5543.45</v>
      </c>
      <c r="E220" s="97">
        <f>15332+761-537</f>
        <v>15556</v>
      </c>
      <c r="F220" s="97">
        <f>3851-122.75</f>
        <v>3728.25</v>
      </c>
      <c r="G220" s="99"/>
      <c r="H220" s="122"/>
      <c r="I220" s="122"/>
      <c r="J220" s="122"/>
      <c r="K220" s="122"/>
      <c r="L220" s="122"/>
      <c r="M220" s="122"/>
    </row>
    <row r="221" spans="1:13" x14ac:dyDescent="0.25">
      <c r="A221" t="s">
        <v>237</v>
      </c>
      <c r="B221" s="96">
        <v>44109</v>
      </c>
      <c r="C221" s="97">
        <f>7197-217</f>
        <v>6980</v>
      </c>
      <c r="D221" s="97">
        <f>5242+217</f>
        <v>5459</v>
      </c>
      <c r="E221" s="97">
        <f>14297+761-279</f>
        <v>14779</v>
      </c>
      <c r="F221" s="97">
        <f>3557-122.75</f>
        <v>3434.25</v>
      </c>
      <c r="G221" s="99"/>
      <c r="H221" s="122"/>
      <c r="I221" s="122"/>
      <c r="J221" s="122"/>
      <c r="K221" s="122"/>
      <c r="L221" s="122"/>
      <c r="M221" s="122"/>
    </row>
    <row r="222" spans="1:13" x14ac:dyDescent="0.25">
      <c r="A222" t="s">
        <v>237</v>
      </c>
      <c r="B222" s="96">
        <v>44110</v>
      </c>
      <c r="C222" s="97">
        <f>7187-217</f>
        <v>6970</v>
      </c>
      <c r="D222" s="97">
        <f>5239+217</f>
        <v>5456</v>
      </c>
      <c r="E222" s="97">
        <f>14298+761-279</f>
        <v>14780</v>
      </c>
      <c r="F222" s="97">
        <f>3796-104.65</f>
        <v>3691.35</v>
      </c>
      <c r="G222" s="99"/>
      <c r="H222" s="122"/>
      <c r="I222" s="122"/>
      <c r="J222" s="122"/>
      <c r="K222" s="122"/>
      <c r="L222" s="122"/>
      <c r="M222" s="122"/>
    </row>
    <row r="223" spans="1:13" x14ac:dyDescent="0.25">
      <c r="A223" t="s">
        <v>237</v>
      </c>
      <c r="B223" s="96">
        <v>44111</v>
      </c>
      <c r="C223" s="97">
        <f>7564-217</f>
        <v>7347</v>
      </c>
      <c r="D223" s="97">
        <f>5408+217</f>
        <v>5625</v>
      </c>
      <c r="E223" s="97">
        <f>14320+761-240</f>
        <v>14841</v>
      </c>
      <c r="F223" s="97">
        <f>4102-103.75</f>
        <v>3998.25</v>
      </c>
      <c r="G223" s="99"/>
      <c r="H223" s="122"/>
      <c r="I223" s="122"/>
      <c r="J223" s="122"/>
      <c r="K223" s="122"/>
      <c r="L223" s="122"/>
      <c r="M223" s="122"/>
    </row>
    <row r="224" spans="1:13" x14ac:dyDescent="0.25">
      <c r="A224" t="s">
        <v>237</v>
      </c>
      <c r="B224" s="11">
        <v>44112</v>
      </c>
      <c r="C224" s="10">
        <f>7758-217</f>
        <v>7541</v>
      </c>
      <c r="D224" s="10">
        <f>5433+217</f>
        <v>5650</v>
      </c>
      <c r="E224" s="10">
        <f>14516+761-83</f>
        <v>15194</v>
      </c>
      <c r="F224" s="10">
        <f>4201-103.75</f>
        <v>4097.25</v>
      </c>
      <c r="G224" s="99"/>
      <c r="H224" s="122"/>
      <c r="I224" s="122"/>
      <c r="J224" s="122"/>
      <c r="K224" s="122"/>
      <c r="L224" s="122"/>
      <c r="M224" s="122"/>
    </row>
    <row r="225" spans="1:13" x14ac:dyDescent="0.25">
      <c r="A225" t="s">
        <v>237</v>
      </c>
      <c r="B225" s="96">
        <v>44113</v>
      </c>
      <c r="C225" s="97">
        <f>8055-217</f>
        <v>7838</v>
      </c>
      <c r="D225" s="97">
        <f>5664+217</f>
        <v>5881</v>
      </c>
      <c r="E225" s="97">
        <f>14490+761-83</f>
        <v>15168</v>
      </c>
      <c r="F225" s="97">
        <f>4264-99.9</f>
        <v>4164.1000000000004</v>
      </c>
      <c r="G225" s="99"/>
      <c r="H225" s="122"/>
      <c r="I225" s="122"/>
      <c r="J225" s="122"/>
      <c r="K225" s="122"/>
      <c r="L225" s="122"/>
      <c r="M225" s="122"/>
    </row>
    <row r="226" spans="1:13" x14ac:dyDescent="0.25">
      <c r="A226" t="s">
        <v>237</v>
      </c>
      <c r="B226" s="96">
        <v>44116</v>
      </c>
      <c r="C226" s="97">
        <f>8085-204.975</f>
        <v>7880.0249999999996</v>
      </c>
      <c r="D226" s="97">
        <f>5559+204.985</f>
        <v>5763.9849999999997</v>
      </c>
      <c r="E226" s="97">
        <f>13891+761-83</f>
        <v>14569</v>
      </c>
      <c r="F226" s="97">
        <f>3740-93.55</f>
        <v>3646.45</v>
      </c>
      <c r="G226" s="99"/>
      <c r="H226" s="122"/>
      <c r="I226" s="122"/>
      <c r="J226" s="122"/>
      <c r="K226" s="122"/>
      <c r="L226" s="122"/>
      <c r="M226" s="122"/>
    </row>
    <row r="227" spans="1:13" x14ac:dyDescent="0.25">
      <c r="A227" t="s">
        <v>237</v>
      </c>
      <c r="B227" s="96">
        <v>44117</v>
      </c>
      <c r="C227" s="97">
        <f>7730-204.975</f>
        <v>7525.0249999999996</v>
      </c>
      <c r="D227" s="97">
        <f>5559+204.985</f>
        <v>5763.9849999999997</v>
      </c>
      <c r="E227" s="97">
        <f>13804+761-83</f>
        <v>14482</v>
      </c>
      <c r="F227" s="97">
        <f>3794-93.55</f>
        <v>3700.45</v>
      </c>
      <c r="G227" s="99"/>
      <c r="H227" s="122"/>
      <c r="I227" s="122"/>
      <c r="J227" s="122"/>
      <c r="K227" s="122"/>
      <c r="L227" s="122"/>
      <c r="M227" s="122"/>
    </row>
    <row r="228" spans="1:13" x14ac:dyDescent="0.25">
      <c r="A228" t="s">
        <v>237</v>
      </c>
      <c r="B228" s="96">
        <v>44118</v>
      </c>
      <c r="C228" s="97">
        <f>7536-204.975</f>
        <v>7331.0249999999996</v>
      </c>
      <c r="D228" s="97">
        <f>5802+204.985</f>
        <v>6006.9849999999997</v>
      </c>
      <c r="E228" s="97">
        <f>13721+761-83</f>
        <v>14399</v>
      </c>
      <c r="F228" s="97">
        <f>4134-89.72</f>
        <v>4044.28</v>
      </c>
      <c r="G228" s="99"/>
      <c r="H228" s="122"/>
      <c r="I228" s="122"/>
      <c r="J228" s="122"/>
      <c r="K228" s="122"/>
      <c r="L228" s="122"/>
      <c r="M228" s="122"/>
    </row>
    <row r="229" spans="1:13" x14ac:dyDescent="0.25">
      <c r="A229" t="s">
        <v>237</v>
      </c>
      <c r="B229" s="96">
        <v>44119</v>
      </c>
      <c r="C229" s="97">
        <f>7578-204.975</f>
        <v>7373.0249999999996</v>
      </c>
      <c r="D229" s="97">
        <f>5917+204.985</f>
        <v>6121.9849999999997</v>
      </c>
      <c r="E229" s="97">
        <f>13350+761-83.87</f>
        <v>14027.13</v>
      </c>
      <c r="F229" s="97">
        <f>4173-89</f>
        <v>4084</v>
      </c>
      <c r="G229" s="99"/>
      <c r="H229" s="122"/>
      <c r="I229" s="122"/>
      <c r="J229" s="122"/>
      <c r="K229" s="122"/>
      <c r="L229" s="122"/>
      <c r="M229" s="122"/>
    </row>
    <row r="230" spans="1:13" x14ac:dyDescent="0.25">
      <c r="A230" t="s">
        <v>237</v>
      </c>
      <c r="B230" s="96">
        <v>44120</v>
      </c>
      <c r="C230" s="97">
        <f>7796-204.975</f>
        <v>7591.0249999999996</v>
      </c>
      <c r="D230" s="97">
        <f>5996+204.985</f>
        <v>6200.9849999999997</v>
      </c>
      <c r="E230" s="97">
        <f>13154+761-83.87</f>
        <v>13831.13</v>
      </c>
      <c r="F230" s="97">
        <f>4153-89</f>
        <v>4064</v>
      </c>
      <c r="G230" s="99"/>
      <c r="H230" s="122"/>
      <c r="I230" s="122"/>
      <c r="J230" s="122"/>
      <c r="K230" s="122"/>
      <c r="L230" s="122"/>
      <c r="M230" s="122"/>
    </row>
    <row r="231" spans="1:13" x14ac:dyDescent="0.25">
      <c r="A231" t="s">
        <v>237</v>
      </c>
      <c r="B231" s="96">
        <v>44123</v>
      </c>
      <c r="C231" s="97">
        <f>7117-192.225</f>
        <v>6924.7749999999996</v>
      </c>
      <c r="D231" s="97">
        <f>5878+192.225</f>
        <v>6070.2250000000004</v>
      </c>
      <c r="E231" s="97">
        <f>12803</f>
        <v>12803</v>
      </c>
      <c r="F231" s="97">
        <f>3733-88.68</f>
        <v>3644.32</v>
      </c>
      <c r="G231" s="99"/>
      <c r="H231" s="122"/>
      <c r="I231" s="122"/>
      <c r="J231" s="122"/>
      <c r="K231" s="122"/>
      <c r="L231" s="122"/>
      <c r="M231" s="122"/>
    </row>
    <row r="232" spans="1:13" x14ac:dyDescent="0.25">
      <c r="A232" t="s">
        <v>237</v>
      </c>
      <c r="B232" s="96">
        <v>44124</v>
      </c>
      <c r="C232" s="97">
        <f>7160-192.225</f>
        <v>6967.7749999999996</v>
      </c>
      <c r="D232" s="97">
        <f>5879+192.225</f>
        <v>6071.2250000000004</v>
      </c>
      <c r="E232" s="97">
        <f>12800</f>
        <v>12800</v>
      </c>
      <c r="F232" s="97">
        <f>3733-88.65</f>
        <v>3644.35</v>
      </c>
      <c r="G232" s="99"/>
      <c r="H232" s="122"/>
      <c r="I232" s="122"/>
      <c r="J232" s="122"/>
      <c r="K232" s="122"/>
      <c r="L232" s="122"/>
      <c r="M232" s="122"/>
    </row>
    <row r="233" spans="1:13" x14ac:dyDescent="0.25">
      <c r="A233" t="s">
        <v>237</v>
      </c>
      <c r="B233" s="96">
        <v>44125</v>
      </c>
      <c r="C233" s="97">
        <f>7057-192.225</f>
        <v>6864.7749999999996</v>
      </c>
      <c r="D233" s="97">
        <f>6066+192.225</f>
        <v>6258.2250000000004</v>
      </c>
      <c r="E233" s="97">
        <f>12931</f>
        <v>12931</v>
      </c>
      <c r="F233" s="97">
        <f>3907-88.65</f>
        <v>3818.35</v>
      </c>
      <c r="G233" s="99"/>
      <c r="H233" s="122"/>
      <c r="I233" s="122"/>
      <c r="J233" s="122"/>
      <c r="K233" s="122"/>
      <c r="L233" s="122"/>
      <c r="M233" s="122"/>
    </row>
    <row r="234" spans="1:13" x14ac:dyDescent="0.25">
      <c r="A234" t="s">
        <v>237</v>
      </c>
      <c r="B234" s="96">
        <v>44126</v>
      </c>
      <c r="C234" s="97">
        <f>6830-192.225</f>
        <v>6637.7749999999996</v>
      </c>
      <c r="D234" s="97">
        <f>6037+192.225</f>
        <v>6229.2250000000004</v>
      </c>
      <c r="E234" s="97">
        <f>13061</f>
        <v>13061</v>
      </c>
      <c r="F234" s="97">
        <f>4050-82.97</f>
        <v>3967.03</v>
      </c>
      <c r="G234" s="99"/>
      <c r="H234" s="122"/>
      <c r="I234" s="122"/>
      <c r="J234" s="122"/>
      <c r="K234" s="122"/>
      <c r="L234" s="122"/>
      <c r="M234" s="122"/>
    </row>
    <row r="235" spans="1:13" x14ac:dyDescent="0.25">
      <c r="A235" t="s">
        <v>237</v>
      </c>
      <c r="B235" s="96">
        <v>44127</v>
      </c>
      <c r="C235" s="97">
        <f>6856-192.225</f>
        <v>6663.7749999999996</v>
      </c>
      <c r="D235" s="97">
        <f>6104+192.225</f>
        <v>6296.2250000000004</v>
      </c>
      <c r="E235" s="97">
        <v>13248</v>
      </c>
      <c r="F235" s="97">
        <f>4147-81.35</f>
        <v>4065.65</v>
      </c>
      <c r="G235" s="99"/>
      <c r="H235" s="122"/>
      <c r="I235" s="122"/>
      <c r="J235" s="122"/>
      <c r="K235" s="122"/>
      <c r="L235" s="122"/>
      <c r="M235" s="122"/>
    </row>
    <row r="236" spans="1:13" x14ac:dyDescent="0.25">
      <c r="A236" t="s">
        <v>237</v>
      </c>
      <c r="B236" s="96">
        <v>44130</v>
      </c>
      <c r="C236" s="97">
        <f>6910-188.1</f>
        <v>6721.9</v>
      </c>
      <c r="D236" s="97">
        <f>5904+188.1</f>
        <v>6092.1</v>
      </c>
      <c r="E236" s="97">
        <v>13315</v>
      </c>
      <c r="F236" s="97">
        <f>3888-81.35</f>
        <v>3806.65</v>
      </c>
      <c r="G236" s="99"/>
      <c r="H236" s="122"/>
      <c r="I236" s="122"/>
      <c r="J236" s="122"/>
      <c r="K236" s="122"/>
      <c r="L236" s="122"/>
      <c r="M236" s="122"/>
    </row>
    <row r="237" spans="1:13" x14ac:dyDescent="0.25">
      <c r="A237" t="s">
        <v>237</v>
      </c>
      <c r="B237" s="96">
        <v>44131</v>
      </c>
      <c r="C237" s="97">
        <f>6513-188.1</f>
        <v>6324.9</v>
      </c>
      <c r="D237" s="97">
        <f>5904+188.1</f>
        <v>6092.1</v>
      </c>
      <c r="E237" s="97">
        <v>13216</v>
      </c>
      <c r="F237" s="97">
        <f>3888-81.35</f>
        <v>3806.65</v>
      </c>
      <c r="G237" s="99"/>
      <c r="H237" s="122"/>
      <c r="I237" s="122"/>
      <c r="J237" s="122"/>
      <c r="K237" s="122"/>
      <c r="L237" s="122"/>
      <c r="M237" s="122"/>
    </row>
    <row r="238" spans="1:13" x14ac:dyDescent="0.25">
      <c r="A238" t="s">
        <v>237</v>
      </c>
      <c r="B238" s="96">
        <v>44132</v>
      </c>
      <c r="C238" s="97">
        <f>6511-188.1</f>
        <v>6322.9</v>
      </c>
      <c r="D238" s="97">
        <f>5933+188.1</f>
        <v>6121.1</v>
      </c>
      <c r="E238" s="97">
        <v>13082</v>
      </c>
      <c r="F238" s="97">
        <f>4026-81.35</f>
        <v>3944.65</v>
      </c>
      <c r="G238" s="99"/>
      <c r="H238" s="122"/>
      <c r="I238" s="122"/>
      <c r="J238" s="122"/>
      <c r="K238" s="122"/>
      <c r="L238" s="122"/>
      <c r="M238" s="122"/>
    </row>
    <row r="239" spans="1:13" x14ac:dyDescent="0.25">
      <c r="A239" t="s">
        <v>237</v>
      </c>
      <c r="B239" s="96">
        <v>44133</v>
      </c>
      <c r="C239" s="97">
        <f>6329-188.1</f>
        <v>6140.9</v>
      </c>
      <c r="D239" s="97">
        <f>6008+188.1</f>
        <v>6196.1</v>
      </c>
      <c r="E239" s="97">
        <v>12841</v>
      </c>
      <c r="F239" s="97">
        <f>4081-81.35</f>
        <v>3999.65</v>
      </c>
      <c r="G239" s="99"/>
      <c r="H239" s="122"/>
      <c r="I239" s="122"/>
      <c r="J239" s="122"/>
      <c r="K239" s="122"/>
      <c r="L239" s="122"/>
      <c r="M239" s="122"/>
    </row>
    <row r="240" spans="1:13" x14ac:dyDescent="0.25">
      <c r="A240" t="s">
        <v>238</v>
      </c>
      <c r="B240" s="96">
        <v>44137</v>
      </c>
      <c r="C240" s="97">
        <f>5798-164.975</f>
        <v>5633.0249999999996</v>
      </c>
      <c r="D240" s="97">
        <f>5911+164.975</f>
        <v>6075.9750000000004</v>
      </c>
      <c r="E240" s="97">
        <v>12570</v>
      </c>
      <c r="F240" s="97">
        <f>3695-79.25</f>
        <v>3615.75</v>
      </c>
      <c r="G240" s="99"/>
      <c r="H240" s="122"/>
      <c r="I240" s="122"/>
      <c r="J240" s="122"/>
      <c r="K240" s="122"/>
      <c r="L240" s="122"/>
      <c r="M240" s="122"/>
    </row>
    <row r="241" spans="1:13" x14ac:dyDescent="0.25">
      <c r="A241" t="s">
        <v>238</v>
      </c>
      <c r="B241" s="96">
        <v>44138</v>
      </c>
      <c r="C241" s="97">
        <f>5309-164.975</f>
        <v>5144.0249999999996</v>
      </c>
      <c r="D241" s="97">
        <f>5911+164.975</f>
        <v>6075.9750000000004</v>
      </c>
      <c r="E241" s="97">
        <v>12421</v>
      </c>
      <c r="F241" s="97">
        <f>3793-79.25</f>
        <v>3713.75</v>
      </c>
      <c r="G241" s="99"/>
      <c r="H241" s="122"/>
      <c r="I241" s="122"/>
      <c r="J241" s="122"/>
      <c r="K241" s="122"/>
      <c r="L241" s="122"/>
      <c r="M241" s="122"/>
    </row>
    <row r="242" spans="1:13" x14ac:dyDescent="0.25">
      <c r="A242" t="s">
        <v>238</v>
      </c>
      <c r="B242" s="11">
        <v>44139</v>
      </c>
      <c r="C242" s="10">
        <f>5235-164.975</f>
        <v>5070.0249999999996</v>
      </c>
      <c r="D242" s="10">
        <f>6125+164.975</f>
        <v>6289.9750000000004</v>
      </c>
      <c r="E242" s="10">
        <v>12395</v>
      </c>
      <c r="F242" s="10">
        <f>4008-79.25</f>
        <v>3928.75</v>
      </c>
      <c r="G242" s="99"/>
      <c r="H242" s="122"/>
      <c r="I242" s="122"/>
      <c r="J242" s="122"/>
      <c r="K242" s="122"/>
      <c r="L242" s="122"/>
      <c r="M242" s="122"/>
    </row>
    <row r="243" spans="1:13" x14ac:dyDescent="0.25">
      <c r="A243" t="s">
        <v>238</v>
      </c>
      <c r="B243" s="96">
        <v>44140</v>
      </c>
      <c r="C243" s="97">
        <f>5235-164.975</f>
        <v>5070.0249999999996</v>
      </c>
      <c r="D243" s="97">
        <f>6202+164.975</f>
        <v>6366.9750000000004</v>
      </c>
      <c r="E243" s="97">
        <v>12539</v>
      </c>
      <c r="F243" s="97">
        <f>4121-79.25</f>
        <v>4041.75</v>
      </c>
      <c r="G243" s="99"/>
      <c r="H243" s="122"/>
      <c r="I243" s="122"/>
      <c r="J243" s="122"/>
      <c r="K243" s="122"/>
      <c r="L243" s="122"/>
      <c r="M243" s="122"/>
    </row>
    <row r="244" spans="1:13" x14ac:dyDescent="0.25">
      <c r="A244" t="s">
        <v>238</v>
      </c>
      <c r="B244" s="96">
        <v>44141</v>
      </c>
      <c r="C244" s="97">
        <f>5212-164.975</f>
        <v>5047.0249999999996</v>
      </c>
      <c r="D244" s="97">
        <f>6277+164.975</f>
        <v>6441.9750000000004</v>
      </c>
      <c r="E244" s="97">
        <v>12522</v>
      </c>
      <c r="F244" s="97">
        <f>4323-79.25</f>
        <v>4243.75</v>
      </c>
      <c r="G244" s="99"/>
      <c r="H244" s="122"/>
      <c r="I244" s="122"/>
      <c r="J244" s="122"/>
      <c r="K244" s="122"/>
      <c r="L244" s="122"/>
      <c r="M244" s="122"/>
    </row>
    <row r="245" spans="1:13" x14ac:dyDescent="0.25">
      <c r="A245" t="s">
        <v>238</v>
      </c>
      <c r="B245" s="96">
        <v>44144</v>
      </c>
      <c r="C245" s="97">
        <f>5610-146.275</f>
        <v>5463.7250000000004</v>
      </c>
      <c r="D245" s="97">
        <f>5962+146.275</f>
        <v>6108.2749999999996</v>
      </c>
      <c r="E245" s="97">
        <v>12636</v>
      </c>
      <c r="F245" s="97">
        <f>4292-79.25</f>
        <v>4212.75</v>
      </c>
      <c r="G245" s="99"/>
      <c r="H245" s="122"/>
      <c r="I245" s="122"/>
      <c r="J245" s="122"/>
      <c r="K245" s="122"/>
      <c r="L245" s="122"/>
      <c r="M245" s="122"/>
    </row>
    <row r="246" spans="1:13" x14ac:dyDescent="0.25">
      <c r="A246" t="s">
        <v>238</v>
      </c>
      <c r="B246" s="96">
        <v>44145</v>
      </c>
      <c r="C246" s="97">
        <f>5561-146.275</f>
        <v>5414.7250000000004</v>
      </c>
      <c r="D246" s="97">
        <f>5972+146.275</f>
        <v>6118.2749999999996</v>
      </c>
      <c r="E246" s="97">
        <v>12504</v>
      </c>
      <c r="F246" s="97">
        <f>4292-77.42</f>
        <v>4214.58</v>
      </c>
      <c r="G246" s="99"/>
      <c r="H246" s="122"/>
      <c r="I246" s="122"/>
      <c r="J246" s="122"/>
      <c r="K246" s="122"/>
      <c r="L246" s="122"/>
      <c r="M246" s="122"/>
    </row>
    <row r="247" spans="1:13" x14ac:dyDescent="0.25">
      <c r="A247" t="s">
        <v>238</v>
      </c>
      <c r="B247" s="96">
        <v>44146</v>
      </c>
      <c r="C247" s="97">
        <f>5540-146.275</f>
        <v>5393.7250000000004</v>
      </c>
      <c r="D247" s="97">
        <f>6077+146.275</f>
        <v>6223.2749999999996</v>
      </c>
      <c r="E247" s="97">
        <v>12489</v>
      </c>
      <c r="F247" s="97">
        <f>4533-76.7</f>
        <v>4456.3</v>
      </c>
      <c r="G247" s="99"/>
      <c r="H247" s="122"/>
      <c r="I247" s="122"/>
      <c r="J247" s="122"/>
      <c r="K247" s="122"/>
      <c r="L247" s="122"/>
      <c r="M247" s="122"/>
    </row>
    <row r="248" spans="1:13" x14ac:dyDescent="0.25">
      <c r="A248" t="s">
        <v>238</v>
      </c>
      <c r="B248" s="96">
        <v>44147</v>
      </c>
      <c r="C248" s="97">
        <f>5406-146.275</f>
        <v>5259.7250000000004</v>
      </c>
      <c r="D248" s="97">
        <f>6280+146.275</f>
        <v>6426.2749999999996</v>
      </c>
      <c r="E248" s="97">
        <v>12555</v>
      </c>
      <c r="F248" s="97">
        <f>4604-76.7</f>
        <v>4527.3</v>
      </c>
      <c r="G248" s="99"/>
      <c r="H248" s="122"/>
      <c r="I248" s="122"/>
      <c r="J248" s="122"/>
      <c r="K248" s="122"/>
      <c r="L248" s="122"/>
      <c r="M248" s="122"/>
    </row>
    <row r="249" spans="1:13" x14ac:dyDescent="0.25">
      <c r="A249" t="s">
        <v>238</v>
      </c>
      <c r="B249" s="96">
        <v>44153</v>
      </c>
      <c r="C249" s="97">
        <f>5679-114.4</f>
        <v>5564.6</v>
      </c>
      <c r="D249" s="97">
        <f>6766+114.4</f>
        <v>6880.4</v>
      </c>
      <c r="E249" s="97">
        <v>12783</v>
      </c>
      <c r="F249" s="97">
        <f>4767-76.71</f>
        <v>4690.29</v>
      </c>
      <c r="G249" s="99"/>
      <c r="H249" s="122"/>
      <c r="I249" s="122"/>
      <c r="J249" s="122"/>
      <c r="K249" s="122"/>
      <c r="L249" s="122"/>
      <c r="M249" s="122"/>
    </row>
    <row r="250" spans="1:13" x14ac:dyDescent="0.25">
      <c r="A250" t="s">
        <v>238</v>
      </c>
      <c r="B250" s="96">
        <v>44154</v>
      </c>
      <c r="C250" s="97">
        <f>5478-114.4</f>
        <v>5363.6</v>
      </c>
      <c r="D250" s="97">
        <f>6788+114.4</f>
        <v>6902.4</v>
      </c>
      <c r="E250" s="97">
        <v>12688</v>
      </c>
      <c r="F250" s="97">
        <f>4777-70.77</f>
        <v>4706.2299999999996</v>
      </c>
      <c r="G250" s="99"/>
      <c r="H250" s="122"/>
      <c r="I250" s="122"/>
      <c r="J250" s="122"/>
      <c r="K250" s="122"/>
      <c r="L250" s="122"/>
      <c r="M250" s="122"/>
    </row>
    <row r="251" spans="1:13" x14ac:dyDescent="0.25">
      <c r="A251" t="s">
        <v>238</v>
      </c>
      <c r="B251" s="96">
        <v>44155</v>
      </c>
      <c r="C251" s="97">
        <f>5655-114.4</f>
        <v>5540.6</v>
      </c>
      <c r="D251" s="97">
        <f>6896+114.4</f>
        <v>7010.4</v>
      </c>
      <c r="E251" s="97">
        <v>12376</v>
      </c>
      <c r="F251" s="97">
        <f>4704-70.05</f>
        <v>4633.95</v>
      </c>
      <c r="G251" s="99"/>
      <c r="H251" s="122"/>
      <c r="I251" s="122"/>
      <c r="J251" s="122"/>
      <c r="K251" s="122"/>
      <c r="L251" s="122"/>
      <c r="M251" s="122"/>
    </row>
    <row r="252" spans="1:13" x14ac:dyDescent="0.25">
      <c r="A252" t="s">
        <v>238</v>
      </c>
      <c r="B252" s="96">
        <v>44158</v>
      </c>
      <c r="C252" s="97">
        <f>5656-114.025</f>
        <v>5541.9750000000004</v>
      </c>
      <c r="D252" s="97">
        <f>6943+114.025</f>
        <v>7057.0249999999996</v>
      </c>
      <c r="E252" s="97">
        <v>12457</v>
      </c>
      <c r="F252" s="97">
        <f>4397-70.05</f>
        <v>4326.95</v>
      </c>
      <c r="G252" s="99"/>
      <c r="H252" s="122"/>
      <c r="I252" s="122"/>
      <c r="J252" s="122"/>
      <c r="K252" s="122"/>
      <c r="L252" s="122"/>
      <c r="M252" s="122"/>
    </row>
    <row r="253" spans="1:13" x14ac:dyDescent="0.25">
      <c r="A253" t="s">
        <v>238</v>
      </c>
      <c r="B253" s="96">
        <v>44159</v>
      </c>
      <c r="C253" s="97">
        <f>5705-114.025</f>
        <v>5590.9750000000004</v>
      </c>
      <c r="D253" s="97">
        <f>6907+114.025</f>
        <v>7021.0249999999996</v>
      </c>
      <c r="E253" s="97">
        <v>12339</v>
      </c>
      <c r="F253" s="97">
        <f>4397-70.05</f>
        <v>4326.95</v>
      </c>
      <c r="G253" s="99"/>
      <c r="H253" s="122"/>
      <c r="I253" s="122"/>
      <c r="J253" s="122"/>
      <c r="K253" s="122"/>
      <c r="L253" s="122"/>
      <c r="M253" s="122"/>
    </row>
    <row r="254" spans="1:13" x14ac:dyDescent="0.25">
      <c r="A254" t="s">
        <v>238</v>
      </c>
      <c r="B254" s="96">
        <v>44160</v>
      </c>
      <c r="C254" s="97">
        <f>5733.36-114.025</f>
        <v>5619.335</v>
      </c>
      <c r="D254" s="97">
        <f>7005.08+114.025</f>
        <v>7119.1049999999996</v>
      </c>
      <c r="E254" s="97">
        <v>12359.95</v>
      </c>
      <c r="F254" s="97">
        <f>4559.72-70.05</f>
        <v>4489.67</v>
      </c>
      <c r="G254" s="99"/>
      <c r="H254" s="122"/>
      <c r="I254" s="122"/>
      <c r="J254" s="122"/>
      <c r="K254" s="122"/>
      <c r="L254" s="122"/>
      <c r="M254" s="122"/>
    </row>
    <row r="255" spans="1:13" x14ac:dyDescent="0.25">
      <c r="A255" t="s">
        <v>238</v>
      </c>
      <c r="B255" s="96">
        <v>44161</v>
      </c>
      <c r="C255" s="97">
        <f>5837.14-114.025</f>
        <v>5723.1150000000007</v>
      </c>
      <c r="D255" s="97">
        <f>6888.75+114.025</f>
        <v>7002.7749999999996</v>
      </c>
      <c r="E255" s="97">
        <v>12730.1</v>
      </c>
      <c r="F255" s="97">
        <f>4451.16-70.05</f>
        <v>4381.1099999999997</v>
      </c>
      <c r="G255" s="99"/>
      <c r="H255" s="122"/>
      <c r="I255" s="122"/>
      <c r="J255" s="122"/>
      <c r="K255" s="122"/>
      <c r="L255" s="122"/>
      <c r="M255" s="122"/>
    </row>
    <row r="256" spans="1:13" x14ac:dyDescent="0.25">
      <c r="A256" t="s">
        <v>238</v>
      </c>
      <c r="B256" s="96">
        <v>44162</v>
      </c>
      <c r="C256" s="97">
        <f>5981.9-114.025</f>
        <v>5867.875</v>
      </c>
      <c r="D256" s="97">
        <f>6709.91+114.025</f>
        <v>6823.9349999999995</v>
      </c>
      <c r="E256" s="97">
        <v>12557.83</v>
      </c>
      <c r="F256" s="97">
        <f>4337.6-70.05</f>
        <v>4267.55</v>
      </c>
      <c r="G256" s="99"/>
      <c r="H256" s="122"/>
      <c r="I256" s="122"/>
      <c r="J256" s="122"/>
      <c r="K256" s="122"/>
      <c r="L256" s="122"/>
      <c r="M256" s="122"/>
    </row>
    <row r="257" spans="1:13" x14ac:dyDescent="0.25">
      <c r="A257" t="s">
        <v>238</v>
      </c>
      <c r="B257" s="96">
        <v>44165</v>
      </c>
      <c r="C257" s="97">
        <f>5745.92-104.05</f>
        <v>5641.87</v>
      </c>
      <c r="D257" s="97">
        <f>6333.34+104.05</f>
        <v>6437.39</v>
      </c>
      <c r="E257" s="97">
        <v>12573.98</v>
      </c>
      <c r="F257" s="97">
        <f>4454.74-70.05</f>
        <v>4384.6899999999996</v>
      </c>
      <c r="G257" s="99"/>
      <c r="H257" s="122"/>
      <c r="I257" s="122"/>
      <c r="J257" s="122"/>
      <c r="K257" s="122"/>
      <c r="L257" s="122"/>
      <c r="M257" s="122"/>
    </row>
    <row r="258" spans="1:13" x14ac:dyDescent="0.25">
      <c r="A258" t="s">
        <v>239</v>
      </c>
      <c r="B258" s="96">
        <v>44166</v>
      </c>
      <c r="C258" s="97">
        <f>5737.68-104.05</f>
        <v>5633.63</v>
      </c>
      <c r="D258" s="97">
        <f>6305.81+104.05</f>
        <v>6409.8600000000006</v>
      </c>
      <c r="E258" s="97">
        <v>12375.5</v>
      </c>
      <c r="F258" s="97">
        <f>4229.53-70.05</f>
        <v>4159.4799999999996</v>
      </c>
      <c r="G258" s="99"/>
      <c r="H258" s="122"/>
      <c r="I258" s="122"/>
      <c r="J258" s="122"/>
      <c r="K258" s="122"/>
      <c r="L258" s="122"/>
      <c r="M258" s="122"/>
    </row>
    <row r="259" spans="1:13" x14ac:dyDescent="0.25">
      <c r="A259" t="s">
        <v>239</v>
      </c>
      <c r="B259" s="96">
        <v>44167</v>
      </c>
      <c r="C259" s="97">
        <f>5589.55-104.05</f>
        <v>5485.5</v>
      </c>
      <c r="D259" s="97">
        <f>6359.22+104.05</f>
        <v>6463.27</v>
      </c>
      <c r="E259" s="97">
        <v>12687.61</v>
      </c>
      <c r="F259" s="97">
        <f>4082.03-79.462</f>
        <v>4002.5680000000002</v>
      </c>
      <c r="G259" s="99"/>
      <c r="H259" s="122"/>
      <c r="I259" s="122"/>
      <c r="J259" s="122"/>
      <c r="K259" s="122"/>
      <c r="L259" s="122"/>
      <c r="M259" s="122"/>
    </row>
    <row r="260" spans="1:13" x14ac:dyDescent="0.25">
      <c r="A260" t="s">
        <v>239</v>
      </c>
      <c r="B260" s="96">
        <v>44168</v>
      </c>
      <c r="C260" s="97">
        <f>5420.4-104.05</f>
        <v>5316.3499999999995</v>
      </c>
      <c r="D260" s="97">
        <f>6328.92+104.05</f>
        <v>6432.97</v>
      </c>
      <c r="E260" s="97">
        <v>12656.27</v>
      </c>
      <c r="F260" s="97">
        <f>4165.92-68.459</f>
        <v>4097.4610000000002</v>
      </c>
      <c r="G260" s="99"/>
      <c r="H260" s="122"/>
      <c r="I260" s="122"/>
      <c r="J260" s="122"/>
      <c r="K260" s="122"/>
      <c r="L260" s="122"/>
      <c r="M260" s="122"/>
    </row>
    <row r="261" spans="1:13" x14ac:dyDescent="0.25">
      <c r="A261" t="s">
        <v>239</v>
      </c>
      <c r="B261" s="96">
        <v>44169</v>
      </c>
      <c r="C261" s="97">
        <f>5420.4-100.4</f>
        <v>5320</v>
      </c>
      <c r="D261" s="97">
        <f>6328.92+100.4</f>
        <v>6429.32</v>
      </c>
      <c r="E261" s="97">
        <v>12656.27</v>
      </c>
      <c r="F261" s="97">
        <f>4165.92-64.509</f>
        <v>4101.4110000000001</v>
      </c>
      <c r="G261" s="99"/>
      <c r="H261" s="122"/>
      <c r="I261" s="122"/>
      <c r="J261" s="122"/>
      <c r="K261" s="122"/>
      <c r="L261" s="122"/>
      <c r="M261" s="122"/>
    </row>
    <row r="262" spans="1:13" x14ac:dyDescent="0.25">
      <c r="A262" t="s">
        <v>239</v>
      </c>
      <c r="B262" s="96">
        <v>44172</v>
      </c>
      <c r="C262" s="97">
        <v>5320</v>
      </c>
      <c r="D262" s="97">
        <v>6429.32</v>
      </c>
      <c r="E262" s="98">
        <v>12656.27</v>
      </c>
      <c r="F262">
        <v>4101.4110000000001</v>
      </c>
      <c r="G262" s="99"/>
      <c r="H262" s="122"/>
      <c r="I262" s="122"/>
      <c r="J262" s="122"/>
      <c r="K262" s="122"/>
      <c r="L262" s="122"/>
      <c r="M262" s="122"/>
    </row>
    <row r="263" spans="1:13" x14ac:dyDescent="0.25">
      <c r="A263" t="s">
        <v>239</v>
      </c>
      <c r="B263" s="96">
        <v>44173</v>
      </c>
      <c r="C263" s="97">
        <f>5727.85</f>
        <v>5727.85</v>
      </c>
      <c r="D263" s="97">
        <f>6687.6</f>
        <v>6687.6</v>
      </c>
      <c r="E263" s="97">
        <v>13294.37</v>
      </c>
      <c r="F263" s="97">
        <f>4971.701</f>
        <v>4971.701</v>
      </c>
      <c r="G263" s="99"/>
      <c r="H263" s="122"/>
      <c r="I263" s="122"/>
      <c r="J263" s="122"/>
      <c r="K263" s="122"/>
      <c r="L263" s="122"/>
      <c r="M263" s="122"/>
    </row>
    <row r="264" spans="1:13" x14ac:dyDescent="0.25">
      <c r="A264" t="s">
        <v>239</v>
      </c>
      <c r="B264" s="96">
        <v>44174</v>
      </c>
      <c r="C264" s="10">
        <f>5647.16</f>
        <v>5647.16</v>
      </c>
      <c r="D264" s="10">
        <f>6819.93</f>
        <v>6819.93</v>
      </c>
      <c r="E264" s="10">
        <v>13426.84</v>
      </c>
      <c r="F264" s="10">
        <f>5219.181</f>
        <v>5219.1809999999996</v>
      </c>
      <c r="G264" s="99"/>
      <c r="H264" s="122"/>
      <c r="I264" s="122"/>
      <c r="J264" s="122"/>
      <c r="K264" s="122"/>
      <c r="L264" s="122"/>
      <c r="M264" s="122"/>
    </row>
    <row r="265" spans="1:13" x14ac:dyDescent="0.25">
      <c r="A265" t="s">
        <v>239</v>
      </c>
      <c r="B265" s="96">
        <v>44175</v>
      </c>
      <c r="C265" s="10">
        <f>5676.86</f>
        <v>5676.86</v>
      </c>
      <c r="D265" s="10">
        <f>6854.31</f>
        <v>6854.31</v>
      </c>
      <c r="E265" s="10">
        <v>13501.17</v>
      </c>
      <c r="F265" s="10">
        <f>5286.941</f>
        <v>5286.9409999999998</v>
      </c>
      <c r="G265" s="99"/>
      <c r="H265" s="122"/>
      <c r="I265" s="122"/>
      <c r="J265" s="122"/>
      <c r="K265" s="122"/>
      <c r="L265" s="122"/>
      <c r="M265" s="122"/>
    </row>
    <row r="266" spans="1:13" x14ac:dyDescent="0.25">
      <c r="A266" t="s">
        <v>239</v>
      </c>
      <c r="B266" s="96">
        <v>44176</v>
      </c>
      <c r="C266" s="10">
        <f>5757.27</f>
        <v>5757.27</v>
      </c>
      <c r="D266" s="10">
        <f>6875.02</f>
        <v>6875.02</v>
      </c>
      <c r="E266" s="10">
        <v>13632.28</v>
      </c>
      <c r="F266" s="10">
        <f>5234.741</f>
        <v>5234.741</v>
      </c>
      <c r="G266" s="99"/>
      <c r="H266" s="122"/>
      <c r="I266" s="122"/>
      <c r="J266" s="122"/>
      <c r="K266" s="122"/>
      <c r="L266" s="122"/>
      <c r="M266" s="122"/>
    </row>
    <row r="267" spans="1:13" x14ac:dyDescent="0.25">
      <c r="A267" t="s">
        <v>239</v>
      </c>
      <c r="B267" s="96">
        <v>44179</v>
      </c>
      <c r="C267" s="10">
        <f>5741.715</f>
        <v>5741.7150000000001</v>
      </c>
      <c r="D267" s="10">
        <f>6500.095</f>
        <v>6500.0950000000003</v>
      </c>
      <c r="E267" s="10">
        <v>13769.53</v>
      </c>
      <c r="F267" s="10">
        <f>5170.791</f>
        <v>5170.7910000000002</v>
      </c>
      <c r="G267" s="99"/>
      <c r="H267" s="122"/>
      <c r="I267" s="122"/>
      <c r="J267" s="122"/>
      <c r="K267" s="122"/>
      <c r="L267" s="122"/>
      <c r="M267" s="122"/>
    </row>
    <row r="268" spans="1:13" x14ac:dyDescent="0.25">
      <c r="A268" t="s">
        <v>239</v>
      </c>
      <c r="B268" s="96">
        <v>44180</v>
      </c>
      <c r="C268" s="10">
        <f>5686.765</f>
        <v>5686.7650000000003</v>
      </c>
      <c r="D268" s="10">
        <f>6500.095</f>
        <v>6500.0950000000003</v>
      </c>
      <c r="E268" s="10">
        <v>13703.91</v>
      </c>
      <c r="F268" s="10">
        <f>5631.541</f>
        <v>5631.5410000000002</v>
      </c>
      <c r="G268" s="99"/>
      <c r="H268" s="122"/>
      <c r="I268" s="122"/>
      <c r="J268" s="122"/>
      <c r="K268" s="122"/>
      <c r="L268" s="122"/>
      <c r="M268" s="122"/>
    </row>
    <row r="269" spans="1:13" x14ac:dyDescent="0.25">
      <c r="A269" t="s">
        <v>239</v>
      </c>
      <c r="B269" s="96">
        <v>44181</v>
      </c>
      <c r="C269" s="10">
        <f>5951.435</f>
        <v>5951.4350000000004</v>
      </c>
      <c r="D269" s="10">
        <f>6586.575</f>
        <v>6586.5749999999998</v>
      </c>
      <c r="E269" s="10">
        <v>13883.35</v>
      </c>
      <c r="F269" s="10">
        <f>6169.571</f>
        <v>6169.5709999999999</v>
      </c>
      <c r="G269" s="99"/>
      <c r="H269" s="122"/>
      <c r="I269" s="122"/>
      <c r="J269" s="122"/>
      <c r="K269" s="122"/>
      <c r="L269" s="122"/>
      <c r="M269" s="122"/>
    </row>
    <row r="270" spans="1:13" x14ac:dyDescent="0.25">
      <c r="A270" t="s">
        <v>239</v>
      </c>
      <c r="B270" s="96">
        <v>44182</v>
      </c>
      <c r="C270" s="10">
        <f>6258.555</f>
        <v>6258.5550000000003</v>
      </c>
      <c r="D270" s="10">
        <f>6579.535</f>
        <v>6579.5349999999999</v>
      </c>
      <c r="E270" s="10">
        <v>14023.2</v>
      </c>
      <c r="F270" s="10">
        <f>5989.401</f>
        <v>5989.4009999999998</v>
      </c>
      <c r="G270" s="99"/>
      <c r="H270" s="122"/>
      <c r="I270" s="122"/>
      <c r="J270" s="122"/>
      <c r="K270" s="122"/>
      <c r="L270" s="122"/>
      <c r="M270" s="122"/>
    </row>
    <row r="271" spans="1:13" x14ac:dyDescent="0.25">
      <c r="A271" t="s">
        <v>239</v>
      </c>
      <c r="B271" s="96">
        <v>44183</v>
      </c>
      <c r="C271" s="10">
        <f>6400.835</f>
        <v>6400.835</v>
      </c>
      <c r="D271" s="10">
        <f>6701.565</f>
        <v>6701.5649999999996</v>
      </c>
      <c r="E271" s="10">
        <v>14374.04</v>
      </c>
      <c r="F271" s="10">
        <f>5981.323</f>
        <v>5981.3230000000003</v>
      </c>
      <c r="G271" s="99"/>
      <c r="H271" s="122"/>
      <c r="I271" s="122"/>
      <c r="J271" s="122"/>
      <c r="K271" s="122"/>
      <c r="L271" s="122"/>
      <c r="M271" s="122"/>
    </row>
    <row r="272" spans="1:13" x14ac:dyDescent="0.25">
      <c r="A272" t="s">
        <v>239</v>
      </c>
      <c r="B272" s="96">
        <v>44186</v>
      </c>
      <c r="C272" s="10">
        <f>6612.22</f>
        <v>6612.22</v>
      </c>
      <c r="D272" s="10">
        <f>6732.43</f>
        <v>6732.43</v>
      </c>
      <c r="E272" s="10">
        <v>14069.68</v>
      </c>
      <c r="F272" s="10">
        <f>5743.123</f>
        <v>5743.1229999999996</v>
      </c>
      <c r="G272" s="99"/>
      <c r="H272" s="122"/>
      <c r="I272" s="122"/>
      <c r="J272" s="122"/>
      <c r="K272" s="122"/>
      <c r="L272" s="122"/>
      <c r="M272" s="122"/>
    </row>
    <row r="273" spans="1:13" x14ac:dyDescent="0.25">
      <c r="A273" t="s">
        <v>239</v>
      </c>
      <c r="B273" s="96">
        <v>44187</v>
      </c>
      <c r="C273" s="10">
        <f>6627.12</f>
        <v>6627.12</v>
      </c>
      <c r="D273" s="10">
        <f>6721.15</f>
        <v>6721.15</v>
      </c>
      <c r="E273" s="10">
        <v>13863.58</v>
      </c>
      <c r="F273" s="10">
        <f>5816.123</f>
        <v>5816.1229999999996</v>
      </c>
      <c r="G273" s="99"/>
      <c r="H273" s="122"/>
      <c r="I273" s="122"/>
      <c r="J273" s="122"/>
      <c r="K273" s="122"/>
      <c r="L273" s="122"/>
      <c r="M273" s="122"/>
    </row>
    <row r="274" spans="1:13" x14ac:dyDescent="0.25">
      <c r="A274" t="s">
        <v>239</v>
      </c>
      <c r="B274" s="96">
        <v>44188</v>
      </c>
      <c r="C274" s="10">
        <f>6835.05</f>
        <v>6835.05</v>
      </c>
      <c r="D274" s="10">
        <f>6770.52</f>
        <v>6770.52</v>
      </c>
      <c r="E274" s="10">
        <v>14092.66</v>
      </c>
      <c r="F274" s="10">
        <f>6118.854</f>
        <v>6118.8540000000003</v>
      </c>
      <c r="G274" s="99"/>
      <c r="H274" s="122"/>
      <c r="I274" s="122"/>
      <c r="J274" s="122"/>
      <c r="K274" s="122"/>
      <c r="L274" s="122"/>
      <c r="M274" s="122"/>
    </row>
    <row r="275" spans="1:13" x14ac:dyDescent="0.25">
      <c r="A275" t="s">
        <v>239</v>
      </c>
      <c r="B275" s="96">
        <v>44189</v>
      </c>
      <c r="C275" s="10">
        <f>6764.63</f>
        <v>6764.63</v>
      </c>
      <c r="D275" s="10">
        <f>6776.3</f>
        <v>6776.3</v>
      </c>
      <c r="E275" s="10">
        <v>14249.58</v>
      </c>
      <c r="F275" s="10">
        <f>6115.624</f>
        <v>6115.6239999999998</v>
      </c>
      <c r="G275" s="99"/>
      <c r="H275" s="122"/>
      <c r="I275" s="122"/>
      <c r="J275" s="122"/>
      <c r="K275" s="122"/>
      <c r="L275" s="122"/>
      <c r="M275" s="122"/>
    </row>
    <row r="276" spans="1:13" x14ac:dyDescent="0.25">
      <c r="A276" t="s">
        <v>239</v>
      </c>
      <c r="B276" s="96">
        <v>44195</v>
      </c>
      <c r="C276" s="10">
        <f>7488.755</f>
        <v>7488.7550000000001</v>
      </c>
      <c r="D276" s="10">
        <f>7181.475</f>
        <v>7181.4750000000004</v>
      </c>
      <c r="E276" s="10">
        <v>14351.28</v>
      </c>
      <c r="F276" s="10">
        <f>6202.476</f>
        <v>6202.4759999999997</v>
      </c>
      <c r="G276" s="99"/>
      <c r="H276" s="122"/>
      <c r="I276" s="122"/>
      <c r="J276" s="122"/>
      <c r="K276" s="122"/>
      <c r="L276" s="122"/>
      <c r="M276" s="122"/>
    </row>
    <row r="277" spans="1:13" x14ac:dyDescent="0.25">
      <c r="A277" t="s">
        <v>239</v>
      </c>
      <c r="B277" s="96">
        <v>44196</v>
      </c>
      <c r="C277" s="10">
        <f>7399.205</f>
        <v>7399.2049999999999</v>
      </c>
      <c r="D277" s="10">
        <f>6997.715</f>
        <v>6997.7150000000001</v>
      </c>
      <c r="E277" s="10">
        <v>14275.78</v>
      </c>
      <c r="F277" s="10">
        <f>6460.926</f>
        <v>6460.9260000000004</v>
      </c>
      <c r="G277" s="99"/>
      <c r="H277" s="122"/>
      <c r="I277" s="122"/>
      <c r="J277" s="122"/>
      <c r="K277" s="122"/>
      <c r="L277" s="122"/>
      <c r="M277" s="122"/>
    </row>
    <row r="278" spans="1:13" x14ac:dyDescent="0.25">
      <c r="A278" t="s">
        <v>240</v>
      </c>
      <c r="B278" s="96">
        <v>44197</v>
      </c>
      <c r="C278" s="10">
        <f>7534.585</f>
        <v>7534.585</v>
      </c>
      <c r="D278" s="10">
        <f>7210.465</f>
        <v>7210.4650000000001</v>
      </c>
      <c r="E278" s="10">
        <v>13899.58</v>
      </c>
      <c r="F278" s="10">
        <f>6688.846</f>
        <v>6688.8459999999995</v>
      </c>
      <c r="G278" s="99"/>
      <c r="H278" s="122"/>
      <c r="I278" s="122"/>
      <c r="J278" s="122"/>
      <c r="K278" s="122"/>
      <c r="L278" s="122"/>
      <c r="M278" s="122"/>
    </row>
    <row r="279" spans="1:13" x14ac:dyDescent="0.25">
      <c r="A279" t="s">
        <v>240</v>
      </c>
      <c r="B279" s="96">
        <v>44200</v>
      </c>
      <c r="C279" s="10">
        <f>7329.075</f>
        <v>7329.0749999999998</v>
      </c>
      <c r="D279" s="10">
        <f>7192.365</f>
        <v>7192.3649999999998</v>
      </c>
      <c r="E279" s="10">
        <v>13974.6</v>
      </c>
      <c r="F279" s="10">
        <f>6488.957</f>
        <v>6488.9570000000003</v>
      </c>
      <c r="G279" s="99"/>
      <c r="H279" s="122"/>
      <c r="I279" s="122"/>
      <c r="J279" s="122"/>
      <c r="K279" s="122"/>
      <c r="L279" s="122"/>
      <c r="M279" s="122"/>
    </row>
    <row r="280" spans="1:13" x14ac:dyDescent="0.25">
      <c r="A280" t="s">
        <v>240</v>
      </c>
      <c r="B280" s="96">
        <v>44201</v>
      </c>
      <c r="C280" s="10">
        <f>7460.235</f>
        <v>7460.2349999999997</v>
      </c>
      <c r="D280" s="10">
        <f>7512.115</f>
        <v>7512.1149999999998</v>
      </c>
      <c r="E280" s="10">
        <v>13905.56</v>
      </c>
      <c r="F280" s="10">
        <f>6752.207</f>
        <v>6752.2070000000003</v>
      </c>
      <c r="G280" s="99"/>
      <c r="H280" s="122"/>
      <c r="I280" s="122"/>
      <c r="J280" s="122"/>
      <c r="K280" s="122"/>
      <c r="L280" s="122"/>
      <c r="M280" s="122"/>
    </row>
    <row r="281" spans="1:13" x14ac:dyDescent="0.25">
      <c r="A281" t="s">
        <v>240</v>
      </c>
      <c r="B281" s="96">
        <v>44202</v>
      </c>
      <c r="C281" s="10">
        <f>7523.825</f>
        <v>7523.8249999999998</v>
      </c>
      <c r="D281" s="10">
        <f>7678.065</f>
        <v>7678.0649999999996</v>
      </c>
      <c r="E281" s="10">
        <v>14197.7</v>
      </c>
      <c r="F281" s="10">
        <f>6994.157</f>
        <v>6994.1570000000002</v>
      </c>
      <c r="G281" s="99"/>
      <c r="H281" s="122"/>
      <c r="I281" s="122"/>
      <c r="J281" s="122"/>
      <c r="K281" s="122"/>
      <c r="L281" s="122"/>
      <c r="M281" s="122"/>
    </row>
    <row r="282" spans="1:13" x14ac:dyDescent="0.25">
      <c r="A282" t="s">
        <v>240</v>
      </c>
      <c r="B282" s="96">
        <v>44203</v>
      </c>
      <c r="C282" s="10">
        <f>7513.075</f>
        <v>7513.0749999999998</v>
      </c>
      <c r="D282" s="10">
        <f>7800.425</f>
        <v>7800.4250000000002</v>
      </c>
      <c r="E282" s="10">
        <v>14248.81</v>
      </c>
      <c r="F282" s="10">
        <f>7052.277</f>
        <v>7052.277</v>
      </c>
      <c r="G282" s="99"/>
      <c r="H282" s="122"/>
      <c r="I282" s="122"/>
      <c r="J282" s="122"/>
      <c r="K282" s="122"/>
      <c r="L282" s="122"/>
      <c r="M282" s="122"/>
    </row>
    <row r="283" spans="1:13" x14ac:dyDescent="0.25">
      <c r="A283" t="s">
        <v>240</v>
      </c>
      <c r="B283" s="96">
        <v>44204</v>
      </c>
      <c r="C283" s="10">
        <f>7619.535</f>
        <v>7619.5349999999999</v>
      </c>
      <c r="D283" s="10">
        <f>8050.425</f>
        <v>8050.4250000000002</v>
      </c>
      <c r="E283" s="10">
        <v>14426.74</v>
      </c>
      <c r="F283" s="10">
        <f>7397.597</f>
        <v>7397.5969999999998</v>
      </c>
      <c r="G283" s="99"/>
      <c r="H283" s="122"/>
      <c r="I283" s="122"/>
      <c r="J283" s="122"/>
      <c r="K283" s="122"/>
      <c r="L283" s="122"/>
      <c r="M283" s="122"/>
    </row>
    <row r="284" spans="1:13" x14ac:dyDescent="0.25">
      <c r="A284" t="s">
        <v>240</v>
      </c>
      <c r="B284" s="96">
        <v>44207</v>
      </c>
      <c r="C284" s="10">
        <f>7380.795</f>
        <v>7380.7950000000001</v>
      </c>
      <c r="D284" s="10">
        <f>7536.305</f>
        <v>7536.3050000000003</v>
      </c>
      <c r="E284" s="10">
        <v>15291.48</v>
      </c>
      <c r="F284" s="10">
        <f>7174.557</f>
        <v>7174.5569999999998</v>
      </c>
      <c r="G284" s="99"/>
      <c r="H284" s="122"/>
      <c r="I284" s="122"/>
      <c r="J284" s="122"/>
      <c r="K284" s="122"/>
      <c r="L284" s="122"/>
      <c r="M284" s="122"/>
    </row>
    <row r="285" spans="1:13" x14ac:dyDescent="0.25">
      <c r="A285" t="s">
        <v>240</v>
      </c>
      <c r="B285" s="96">
        <v>44208</v>
      </c>
      <c r="C285" s="10">
        <f>7432.355</f>
        <v>7432.3549999999996</v>
      </c>
      <c r="D285" s="10">
        <f>7781.785</f>
        <v>7781.7849999999999</v>
      </c>
      <c r="E285" s="10">
        <v>15441.56</v>
      </c>
      <c r="F285" s="10">
        <f>7174.557</f>
        <v>7174.5569999999998</v>
      </c>
      <c r="G285" s="99"/>
      <c r="H285" s="122"/>
      <c r="I285" s="122"/>
      <c r="J285" s="122"/>
      <c r="K285" s="122"/>
      <c r="L285" s="122"/>
      <c r="M285" s="122"/>
    </row>
    <row r="286" spans="1:13" x14ac:dyDescent="0.25">
      <c r="A286" t="s">
        <v>240</v>
      </c>
      <c r="B286" s="96">
        <v>44209</v>
      </c>
      <c r="C286" s="10">
        <f>7551.765</f>
        <v>7551.7650000000003</v>
      </c>
      <c r="D286" s="10">
        <f>7894.635</f>
        <v>7894.6350000000002</v>
      </c>
      <c r="E286" s="10">
        <v>15701.47</v>
      </c>
      <c r="F286" s="10">
        <f>7283.677</f>
        <v>7283.6769999999997</v>
      </c>
      <c r="G286" s="99"/>
      <c r="H286" s="122"/>
      <c r="I286" s="122"/>
      <c r="J286" s="122"/>
      <c r="K286" s="122"/>
      <c r="L286" s="122"/>
      <c r="M286" s="122"/>
    </row>
    <row r="287" spans="1:13" x14ac:dyDescent="0.25">
      <c r="A287" t="s">
        <v>240</v>
      </c>
      <c r="B287" s="96">
        <v>44211</v>
      </c>
      <c r="C287" s="10">
        <f>7416.885</f>
        <v>7416.8850000000002</v>
      </c>
      <c r="D287" s="10">
        <f>7662.915</f>
        <v>7662.915</v>
      </c>
      <c r="E287" s="10">
        <v>16112.24</v>
      </c>
      <c r="F287" s="10">
        <f>7111.897</f>
        <v>7111.8969999999999</v>
      </c>
      <c r="G287" s="99"/>
      <c r="H287" s="122"/>
      <c r="I287" s="122"/>
      <c r="J287" s="122"/>
      <c r="K287" s="122"/>
      <c r="L287" s="122"/>
      <c r="M287" s="122"/>
    </row>
    <row r="288" spans="1:13" x14ac:dyDescent="0.25">
      <c r="A288" t="s">
        <v>240</v>
      </c>
      <c r="B288" s="96">
        <v>44214</v>
      </c>
      <c r="C288" s="10">
        <f>7220.97</f>
        <v>7220.97</v>
      </c>
      <c r="D288" s="10">
        <f>7468.88</f>
        <v>7468.88</v>
      </c>
      <c r="E288" s="10">
        <v>15177.86</v>
      </c>
      <c r="F288" s="10">
        <f>6865.847</f>
        <v>6865.8469999999998</v>
      </c>
      <c r="G288" s="99"/>
      <c r="H288" s="122"/>
      <c r="I288" s="122"/>
      <c r="J288" s="122"/>
      <c r="K288" s="122"/>
      <c r="L288" s="122"/>
      <c r="M288" s="122"/>
    </row>
    <row r="289" spans="1:13" x14ac:dyDescent="0.25">
      <c r="A289" t="s">
        <v>240</v>
      </c>
      <c r="B289" s="96">
        <v>44215</v>
      </c>
      <c r="C289" s="10">
        <f>7220.97</f>
        <v>7220.97</v>
      </c>
      <c r="D289" s="10">
        <f>7468.88</f>
        <v>7468.88</v>
      </c>
      <c r="E289" s="10">
        <v>15009.7</v>
      </c>
      <c r="F289" s="10">
        <f>6865.847</f>
        <v>6865.8469999999998</v>
      </c>
      <c r="G289" s="99"/>
      <c r="H289" s="122"/>
      <c r="I289" s="122"/>
      <c r="J289" s="122"/>
      <c r="K289" s="122"/>
      <c r="L289" s="122"/>
      <c r="M289" s="122"/>
    </row>
    <row r="290" spans="1:13" x14ac:dyDescent="0.25">
      <c r="A290" t="s">
        <v>240</v>
      </c>
      <c r="B290" s="96">
        <v>44216</v>
      </c>
      <c r="C290" s="10">
        <f>7464</f>
        <v>7464</v>
      </c>
      <c r="D290" s="10">
        <f>7640.9</f>
        <v>7640.9</v>
      </c>
      <c r="E290" s="10">
        <v>14940.64</v>
      </c>
      <c r="F290" s="10">
        <f>6933.797</f>
        <v>6933.7969999999996</v>
      </c>
      <c r="G290" s="99"/>
      <c r="H290" s="122"/>
      <c r="I290" s="122"/>
      <c r="J290" s="122"/>
      <c r="K290" s="122"/>
      <c r="L290" s="122"/>
      <c r="M290" s="122"/>
    </row>
    <row r="291" spans="1:13" x14ac:dyDescent="0.25">
      <c r="A291" t="s">
        <v>240</v>
      </c>
      <c r="B291" s="96">
        <v>44217</v>
      </c>
      <c r="C291" s="10">
        <f>7395.92</f>
        <v>7395.92</v>
      </c>
      <c r="D291" s="10">
        <f>7713.16</f>
        <v>7713.16</v>
      </c>
      <c r="E291" s="10">
        <v>14774.89</v>
      </c>
      <c r="F291" s="10">
        <f>7106.018</f>
        <v>7106.018</v>
      </c>
      <c r="G291" s="99"/>
      <c r="H291" s="122"/>
      <c r="I291" s="122"/>
      <c r="J291" s="122"/>
      <c r="K291" s="122"/>
      <c r="L291" s="122"/>
      <c r="M291" s="122"/>
    </row>
    <row r="292" spans="1:13" x14ac:dyDescent="0.25">
      <c r="A292" t="s">
        <v>240</v>
      </c>
      <c r="B292" s="96">
        <v>44218</v>
      </c>
      <c r="C292" s="10">
        <f>7427.99</f>
        <v>7427.99</v>
      </c>
      <c r="D292" s="10">
        <f>7803.61</f>
        <v>7803.61</v>
      </c>
      <c r="E292" s="10">
        <v>15164.64</v>
      </c>
      <c r="F292" s="10">
        <f>7111.598</f>
        <v>7111.598</v>
      </c>
      <c r="G292" s="99"/>
      <c r="H292" s="122"/>
      <c r="I292" s="122"/>
      <c r="J292" s="122"/>
      <c r="K292" s="122"/>
      <c r="L292" s="122"/>
      <c r="M292" s="122"/>
    </row>
    <row r="293" spans="1:13" x14ac:dyDescent="0.25">
      <c r="A293" t="s">
        <v>240</v>
      </c>
      <c r="B293" s="96">
        <v>44221</v>
      </c>
      <c r="C293" s="10">
        <f>7431.425</f>
        <v>7431.4250000000002</v>
      </c>
      <c r="D293" s="10">
        <f>7351.795</f>
        <v>7351.7950000000001</v>
      </c>
      <c r="E293" s="10">
        <v>15225.83</v>
      </c>
      <c r="F293" s="10">
        <f>6967.368</f>
        <v>6967.3680000000004</v>
      </c>
      <c r="G293" s="99"/>
      <c r="H293" s="122"/>
      <c r="I293" s="122"/>
      <c r="J293" s="122"/>
      <c r="K293" s="122"/>
      <c r="L293" s="122"/>
      <c r="M293" s="122"/>
    </row>
    <row r="294" spans="1:13" x14ac:dyDescent="0.25">
      <c r="A294" t="s">
        <v>240</v>
      </c>
      <c r="B294" s="96">
        <v>44222</v>
      </c>
      <c r="C294" s="10">
        <f>7383.525</f>
        <v>7383.5249999999996</v>
      </c>
      <c r="D294" s="10">
        <f>7337.285</f>
        <v>7337.2849999999999</v>
      </c>
      <c r="E294" s="10">
        <v>15105.13</v>
      </c>
      <c r="F294" s="10">
        <f>6966.488</f>
        <v>6966.4880000000003</v>
      </c>
      <c r="G294" s="99"/>
      <c r="H294" s="122"/>
      <c r="I294" s="122"/>
      <c r="J294" s="122"/>
      <c r="K294" s="122"/>
      <c r="L294" s="122"/>
      <c r="M294" s="122"/>
    </row>
    <row r="295" spans="1:13" x14ac:dyDescent="0.25">
      <c r="A295" t="s">
        <v>240</v>
      </c>
      <c r="B295" s="96">
        <v>44223</v>
      </c>
      <c r="C295" s="10">
        <f>7548.185</f>
        <v>7548.1850000000004</v>
      </c>
      <c r="D295" s="10">
        <f>7502.385</f>
        <v>7502.3850000000002</v>
      </c>
      <c r="E295" s="10">
        <v>15367.79</v>
      </c>
      <c r="F295" s="10">
        <f>7038.478</f>
        <v>7038.4780000000001</v>
      </c>
      <c r="G295" s="99"/>
      <c r="H295" s="122"/>
      <c r="I295" s="122"/>
      <c r="J295" s="122"/>
      <c r="K295" s="122"/>
      <c r="L295" s="122"/>
      <c r="M295" s="122"/>
    </row>
    <row r="296" spans="1:13" x14ac:dyDescent="0.25">
      <c r="A296" t="s">
        <v>240</v>
      </c>
      <c r="B296" s="96">
        <v>44225</v>
      </c>
      <c r="C296" s="10">
        <f>7517.695</f>
        <v>7517.6949999999997</v>
      </c>
      <c r="D296" s="10">
        <f>7320.515</f>
        <v>7320.5150000000003</v>
      </c>
      <c r="E296" s="10">
        <v>15428.43</v>
      </c>
      <c r="F296" s="10">
        <f>7119.878</f>
        <v>7119.8779999999997</v>
      </c>
      <c r="G296" s="99"/>
      <c r="H296" s="122"/>
      <c r="I296" s="122"/>
      <c r="J296" s="122"/>
      <c r="K296" s="122"/>
      <c r="L296" s="122"/>
      <c r="M296" s="122"/>
    </row>
    <row r="297" spans="1:13" x14ac:dyDescent="0.25">
      <c r="A297" t="s">
        <v>241</v>
      </c>
      <c r="B297" s="96">
        <v>44228</v>
      </c>
      <c r="C297" s="10">
        <f>6942.345</f>
        <v>6942.3450000000003</v>
      </c>
      <c r="D297" s="10">
        <f>7153.475</f>
        <v>7153.4750000000004</v>
      </c>
      <c r="E297" s="10">
        <v>15066.36</v>
      </c>
      <c r="F297" s="10">
        <f>6865.638</f>
        <v>6865.6379999999999</v>
      </c>
      <c r="G297" s="99"/>
      <c r="H297" s="122"/>
      <c r="I297" s="122"/>
      <c r="J297" s="122"/>
      <c r="K297" s="122"/>
      <c r="L297" s="122"/>
      <c r="M297" s="122"/>
    </row>
    <row r="298" spans="1:13" x14ac:dyDescent="0.25">
      <c r="A298" t="s">
        <v>241</v>
      </c>
      <c r="B298" s="96">
        <v>44229</v>
      </c>
      <c r="C298" s="10">
        <f>6984.305</f>
        <v>6984.3050000000003</v>
      </c>
      <c r="D298" s="10">
        <f>7153.475</f>
        <v>7153.4750000000004</v>
      </c>
      <c r="E298" s="10">
        <v>15040.81</v>
      </c>
      <c r="F298" s="10">
        <f>6865.638</f>
        <v>6865.6379999999999</v>
      </c>
      <c r="G298" s="99"/>
      <c r="H298" s="122"/>
      <c r="I298" s="122"/>
      <c r="J298" s="122"/>
      <c r="K298" s="122"/>
      <c r="L298" s="122"/>
      <c r="M298" s="122"/>
    </row>
    <row r="299" spans="1:13" x14ac:dyDescent="0.25">
      <c r="A299" t="s">
        <v>241</v>
      </c>
      <c r="B299" s="96">
        <v>44230</v>
      </c>
      <c r="C299" s="10">
        <f>6851.765</f>
        <v>6851.7650000000003</v>
      </c>
      <c r="D299" s="10">
        <f>7435.305</f>
        <v>7435.3050000000003</v>
      </c>
      <c r="E299" s="10">
        <v>15221.68</v>
      </c>
      <c r="F299" s="10">
        <f>7061.528</f>
        <v>7061.5280000000002</v>
      </c>
      <c r="G299" s="99"/>
      <c r="H299" s="122"/>
      <c r="I299" s="122"/>
      <c r="J299" s="122"/>
      <c r="K299" s="122"/>
      <c r="L299" s="122"/>
      <c r="M299" s="122"/>
    </row>
    <row r="300" spans="1:13" x14ac:dyDescent="0.25">
      <c r="A300" t="s">
        <v>241</v>
      </c>
      <c r="B300" s="96">
        <v>44232</v>
      </c>
      <c r="C300" s="10">
        <f>6732.855</f>
        <v>6732.8549999999996</v>
      </c>
      <c r="D300" s="10">
        <f>7323.035</f>
        <v>7323.0349999999999</v>
      </c>
      <c r="E300" s="10">
        <v>15204.32</v>
      </c>
      <c r="F300" s="10">
        <f>6632.698</f>
        <v>6632.6980000000003</v>
      </c>
      <c r="G300" s="99"/>
      <c r="H300" s="122"/>
      <c r="I300" s="122"/>
      <c r="J300" s="122"/>
      <c r="K300" s="122"/>
      <c r="L300" s="122"/>
      <c r="M300" s="122"/>
    </row>
    <row r="301" spans="1:13" x14ac:dyDescent="0.25">
      <c r="A301" t="s">
        <v>241</v>
      </c>
      <c r="B301" s="96">
        <v>44235</v>
      </c>
      <c r="C301" s="10">
        <f>6414.805</f>
        <v>6414.8050000000003</v>
      </c>
      <c r="D301" s="10">
        <f>7298.185</f>
        <v>7298.1850000000004</v>
      </c>
      <c r="E301" s="10">
        <v>15372.69</v>
      </c>
      <c r="F301" s="10">
        <f>6789.288</f>
        <v>6789.2879999999996</v>
      </c>
      <c r="G301" s="99"/>
      <c r="H301" s="122"/>
      <c r="I301" s="122"/>
      <c r="J301" s="122"/>
      <c r="K301" s="122"/>
      <c r="L301" s="122"/>
      <c r="M301" s="122"/>
    </row>
    <row r="302" spans="1:13" x14ac:dyDescent="0.25">
      <c r="A302" t="s">
        <v>241</v>
      </c>
      <c r="B302" s="96">
        <v>44236</v>
      </c>
      <c r="C302" s="10">
        <f>6414.405</f>
        <v>6414.4049999999997</v>
      </c>
      <c r="D302" s="10">
        <f>7295.405</f>
        <v>7295.4049999999997</v>
      </c>
      <c r="E302" s="10">
        <v>15170.37</v>
      </c>
      <c r="F302" s="10">
        <f>6789.288</f>
        <v>6789.2879999999996</v>
      </c>
      <c r="G302" s="99"/>
      <c r="H302" s="122"/>
      <c r="I302" s="122"/>
      <c r="J302" s="122"/>
      <c r="K302" s="122"/>
      <c r="L302" s="122"/>
      <c r="M302" s="122"/>
    </row>
    <row r="303" spans="1:13" x14ac:dyDescent="0.25">
      <c r="A303" t="s">
        <v>241</v>
      </c>
      <c r="B303" s="96">
        <v>44237</v>
      </c>
      <c r="C303" s="10">
        <f>6412.405</f>
        <v>6412.4049999999997</v>
      </c>
      <c r="D303" s="10">
        <f>7485.905</f>
        <v>7485.9049999999997</v>
      </c>
      <c r="E303" s="10">
        <v>15572.72</v>
      </c>
      <c r="F303" s="10">
        <f>7047.938</f>
        <v>7047.9380000000001</v>
      </c>
      <c r="G303" s="99"/>
      <c r="H303" s="122"/>
      <c r="I303" s="122"/>
      <c r="J303" s="122"/>
      <c r="K303" s="122"/>
      <c r="L303" s="122"/>
      <c r="M303" s="122"/>
    </row>
    <row r="304" spans="1:13" x14ac:dyDescent="0.25">
      <c r="A304" t="s">
        <v>241</v>
      </c>
      <c r="B304" s="96">
        <v>44238</v>
      </c>
      <c r="C304" s="10">
        <f>6316.765</f>
        <v>6316.7650000000003</v>
      </c>
      <c r="D304" s="10">
        <f>7424.885</f>
        <v>7424.8850000000002</v>
      </c>
      <c r="E304" s="10">
        <v>15457.05</v>
      </c>
      <c r="F304" s="10">
        <f>7126.808</f>
        <v>7126.808</v>
      </c>
      <c r="G304" s="99"/>
      <c r="H304" s="122"/>
      <c r="I304" s="122"/>
      <c r="J304" s="122"/>
      <c r="K304" s="122"/>
      <c r="L304" s="122"/>
      <c r="M304" s="122"/>
    </row>
    <row r="305" spans="1:13" x14ac:dyDescent="0.25">
      <c r="A305" t="s">
        <v>241</v>
      </c>
      <c r="B305" s="96">
        <v>44239</v>
      </c>
      <c r="C305" s="10">
        <f>6208.505</f>
        <v>6208.5050000000001</v>
      </c>
      <c r="D305" s="10">
        <f>7520.545</f>
        <v>7520.5450000000001</v>
      </c>
      <c r="E305" s="10">
        <v>15371.23</v>
      </c>
      <c r="F305" s="10">
        <f>7065.608</f>
        <v>7065.6080000000002</v>
      </c>
      <c r="G305" s="99"/>
      <c r="H305" s="122"/>
      <c r="I305" s="122"/>
      <c r="J305" s="122"/>
      <c r="K305" s="122"/>
      <c r="L305" s="122"/>
      <c r="M305" s="122"/>
    </row>
    <row r="306" spans="1:13" x14ac:dyDescent="0.25">
      <c r="A306" t="s">
        <v>241</v>
      </c>
      <c r="B306" s="96">
        <v>44242</v>
      </c>
      <c r="C306" s="10">
        <f>5824.31</f>
        <v>5824.31</v>
      </c>
      <c r="D306" s="10">
        <f>7768.58</f>
        <v>7768.58</v>
      </c>
      <c r="E306" s="10">
        <v>15360.45</v>
      </c>
      <c r="F306" s="10">
        <f>7577.588</f>
        <v>7577.5879999999997</v>
      </c>
      <c r="G306" s="99"/>
      <c r="H306" s="122"/>
      <c r="I306" s="122"/>
      <c r="J306" s="122"/>
      <c r="K306" s="122"/>
      <c r="L306" s="122"/>
      <c r="M306" s="122"/>
    </row>
    <row r="307" spans="1:13" x14ac:dyDescent="0.25">
      <c r="A307" t="s">
        <v>241</v>
      </c>
      <c r="B307" s="96">
        <v>44243</v>
      </c>
      <c r="C307" s="10">
        <f>5824.31</f>
        <v>5824.31</v>
      </c>
      <c r="D307" s="10">
        <f>7768.58</f>
        <v>7768.58</v>
      </c>
      <c r="E307" s="10">
        <v>15305.23</v>
      </c>
      <c r="F307" s="10">
        <f>7577.588</f>
        <v>7577.5879999999997</v>
      </c>
      <c r="G307" s="99"/>
      <c r="H307" s="122"/>
      <c r="I307" s="122"/>
      <c r="J307" s="122"/>
      <c r="K307" s="122"/>
      <c r="L307" s="122"/>
      <c r="M307" s="122"/>
    </row>
    <row r="308" spans="1:13" x14ac:dyDescent="0.25">
      <c r="A308" t="s">
        <v>241</v>
      </c>
      <c r="B308" s="96">
        <v>44244</v>
      </c>
      <c r="C308" s="10">
        <f>5833.59</f>
        <v>5833.59</v>
      </c>
      <c r="D308" s="10">
        <f>8009.14</f>
        <v>8009.14</v>
      </c>
      <c r="E308" s="10">
        <v>15679.69</v>
      </c>
      <c r="F308" s="10">
        <f>7748.918</f>
        <v>7748.9179999999997</v>
      </c>
      <c r="G308" s="99"/>
      <c r="H308" s="122"/>
      <c r="I308" s="122"/>
      <c r="J308" s="122"/>
      <c r="K308" s="122"/>
      <c r="L308" s="122"/>
      <c r="M308" s="122"/>
    </row>
    <row r="309" spans="1:13" x14ac:dyDescent="0.25">
      <c r="A309" t="s">
        <v>241</v>
      </c>
      <c r="B309" s="96">
        <v>44245</v>
      </c>
      <c r="C309" s="10">
        <f>5908.32</f>
        <v>5908.32</v>
      </c>
      <c r="D309" s="10">
        <f>7952.5</f>
        <v>7952.5</v>
      </c>
      <c r="E309" s="10">
        <v>16324.47</v>
      </c>
      <c r="F309" s="10">
        <f>7742.448</f>
        <v>7742.4480000000003</v>
      </c>
      <c r="G309" s="99"/>
      <c r="H309" s="122"/>
      <c r="I309" s="122"/>
      <c r="J309" s="122"/>
      <c r="K309" s="122"/>
      <c r="L309" s="122"/>
      <c r="M309" s="122"/>
    </row>
    <row r="310" spans="1:13" x14ac:dyDescent="0.25">
      <c r="A310" t="s">
        <v>241</v>
      </c>
      <c r="B310" s="96">
        <v>44246</v>
      </c>
      <c r="C310" s="10">
        <f>5993.56</f>
        <v>5993.56</v>
      </c>
      <c r="D310" s="10">
        <f>7955.91</f>
        <v>7955.91</v>
      </c>
      <c r="E310" s="10">
        <v>16711.61</v>
      </c>
      <c r="F310" s="10">
        <f>7646.84</f>
        <v>7646.84</v>
      </c>
      <c r="G310" s="99"/>
      <c r="H310" s="122"/>
      <c r="I310" s="122"/>
      <c r="J310" s="122"/>
      <c r="K310" s="122"/>
      <c r="L310" s="122"/>
      <c r="M310" s="122"/>
    </row>
    <row r="311" spans="1:13" x14ac:dyDescent="0.25">
      <c r="A311" t="s">
        <v>241</v>
      </c>
      <c r="B311" s="96">
        <v>44249</v>
      </c>
      <c r="C311" s="10">
        <f>6170.505</f>
        <v>6170.5050000000001</v>
      </c>
      <c r="D311" s="10">
        <f>7894.285</f>
        <v>7894.2849999999999</v>
      </c>
      <c r="E311" s="10">
        <v>17198.490000000002</v>
      </c>
      <c r="F311" s="10">
        <f>7546.65</f>
        <v>7546.65</v>
      </c>
      <c r="G311" s="99"/>
      <c r="H311" s="122"/>
      <c r="I311" s="122"/>
      <c r="J311" s="122"/>
      <c r="K311" s="122"/>
      <c r="L311" s="122"/>
      <c r="M311" s="122"/>
    </row>
    <row r="312" spans="1:13" x14ac:dyDescent="0.25">
      <c r="A312" t="s">
        <v>241</v>
      </c>
      <c r="B312" s="96">
        <v>44250</v>
      </c>
      <c r="C312" s="10">
        <f>6148.945</f>
        <v>6148.9449999999997</v>
      </c>
      <c r="D312" s="10">
        <f>7894.285</f>
        <v>7894.2849999999999</v>
      </c>
      <c r="E312" s="10">
        <v>17150.439999999999</v>
      </c>
      <c r="F312" s="10">
        <f>7546.65</f>
        <v>7546.65</v>
      </c>
      <c r="G312" s="99"/>
      <c r="H312" s="122"/>
      <c r="I312" s="122"/>
      <c r="J312" s="122"/>
      <c r="K312" s="122"/>
      <c r="L312" s="122"/>
      <c r="M312" s="122"/>
    </row>
    <row r="313" spans="1:13" x14ac:dyDescent="0.25">
      <c r="A313" t="s">
        <v>241</v>
      </c>
      <c r="B313" s="96">
        <v>44251</v>
      </c>
      <c r="C313" s="10">
        <f>6234.045</f>
        <v>6234.0450000000001</v>
      </c>
      <c r="D313" s="10">
        <f>8023.865</f>
        <v>8023.8649999999998</v>
      </c>
      <c r="E313" s="10">
        <v>17386.07</v>
      </c>
      <c r="F313" s="10">
        <f>7631.53</f>
        <v>7631.53</v>
      </c>
      <c r="G313" s="99"/>
      <c r="H313" s="122"/>
      <c r="I313" s="122"/>
      <c r="J313" s="122"/>
      <c r="K313" s="122"/>
      <c r="L313" s="122"/>
      <c r="M313" s="122"/>
    </row>
    <row r="314" spans="1:13" x14ac:dyDescent="0.25">
      <c r="A314" t="s">
        <v>241</v>
      </c>
      <c r="B314" s="96">
        <v>44252</v>
      </c>
      <c r="C314" s="10">
        <f>6163.915</f>
        <v>6163.915</v>
      </c>
      <c r="D314" s="10">
        <f>7932.135</f>
        <v>7932.1350000000002</v>
      </c>
      <c r="E314" s="10">
        <v>17369.060000000001</v>
      </c>
      <c r="F314" s="10">
        <f>7652.29</f>
        <v>7652.29</v>
      </c>
      <c r="G314" s="99"/>
      <c r="H314" s="122"/>
      <c r="I314" s="122"/>
      <c r="J314" s="122"/>
      <c r="K314" s="122"/>
      <c r="L314" s="122"/>
      <c r="M314" s="122"/>
    </row>
    <row r="315" spans="1:13" x14ac:dyDescent="0.25">
      <c r="A315" t="s">
        <v>242</v>
      </c>
      <c r="B315" s="96">
        <v>44256</v>
      </c>
      <c r="C315" s="10">
        <f>5731.995</f>
        <v>5731.9949999999999</v>
      </c>
      <c r="D315" s="10">
        <f>7808.995</f>
        <v>7808.9949999999999</v>
      </c>
      <c r="E315" s="10">
        <v>17032.169999999998</v>
      </c>
      <c r="F315" s="10">
        <f>7450.96</f>
        <v>7450.96</v>
      </c>
      <c r="G315" s="99"/>
      <c r="H315" s="122"/>
      <c r="I315" s="122"/>
      <c r="J315" s="122"/>
      <c r="K315" s="122"/>
      <c r="L315" s="122"/>
      <c r="M315" s="122"/>
    </row>
    <row r="316" spans="1:13" x14ac:dyDescent="0.25">
      <c r="A316" t="s">
        <v>242</v>
      </c>
      <c r="B316" s="96">
        <v>44257</v>
      </c>
      <c r="C316" s="10">
        <f>5732.065</f>
        <v>5732.0649999999996</v>
      </c>
      <c r="D316" s="10">
        <f>7808.995</f>
        <v>7808.9949999999999</v>
      </c>
      <c r="E316" s="10">
        <v>16861</v>
      </c>
      <c r="F316" s="10">
        <f>7442.04</f>
        <v>7442.04</v>
      </c>
      <c r="G316" s="99"/>
      <c r="H316" s="122"/>
      <c r="I316" s="122"/>
      <c r="J316" s="122"/>
      <c r="K316" s="122"/>
      <c r="L316" s="122"/>
      <c r="M316" s="122"/>
    </row>
    <row r="317" spans="1:13" x14ac:dyDescent="0.25">
      <c r="A317" t="s">
        <v>242</v>
      </c>
      <c r="B317" s="96">
        <v>44258</v>
      </c>
      <c r="C317" s="10">
        <f>5899.745</f>
        <v>5899.7449999999999</v>
      </c>
      <c r="D317" s="10">
        <f>7995.165</f>
        <v>7995.165</v>
      </c>
      <c r="E317" s="10">
        <v>16387.62</v>
      </c>
      <c r="F317" s="10">
        <f>7655.31</f>
        <v>7655.31</v>
      </c>
      <c r="G317" s="99"/>
      <c r="H317" s="122"/>
      <c r="I317" s="122"/>
      <c r="J317" s="122"/>
      <c r="K317" s="122"/>
      <c r="L317" s="122"/>
      <c r="M317" s="122"/>
    </row>
    <row r="318" spans="1:13" x14ac:dyDescent="0.25">
      <c r="A318" t="s">
        <v>242</v>
      </c>
      <c r="B318" s="96">
        <v>44259</v>
      </c>
      <c r="C318" s="10">
        <f>5904.205</f>
        <v>5904.2049999999999</v>
      </c>
      <c r="D318" s="10">
        <f>8172.165</f>
        <v>8172.165</v>
      </c>
      <c r="E318" s="10">
        <v>16257.71</v>
      </c>
      <c r="F318" s="10">
        <f>7659.461</f>
        <v>7659.4610000000002</v>
      </c>
      <c r="G318" s="99"/>
      <c r="H318" s="122"/>
      <c r="I318" s="122"/>
      <c r="J318" s="122"/>
      <c r="K318" s="122"/>
      <c r="L318" s="122"/>
      <c r="M318" s="122"/>
    </row>
    <row r="319" spans="1:13" x14ac:dyDescent="0.25">
      <c r="A319" t="s">
        <v>242</v>
      </c>
      <c r="B319" s="96">
        <v>44260</v>
      </c>
      <c r="C319" s="10">
        <f>5943.995</f>
        <v>5943.9949999999999</v>
      </c>
      <c r="D319" s="10">
        <f>8444.295</f>
        <v>8444.2950000000001</v>
      </c>
      <c r="E319" s="10">
        <v>16177.82</v>
      </c>
      <c r="F319" s="10">
        <f>7619.031</f>
        <v>7619.0309999999999</v>
      </c>
      <c r="G319" s="99"/>
      <c r="H319" s="122"/>
      <c r="I319" s="122"/>
      <c r="J319" s="122"/>
      <c r="K319" s="122"/>
      <c r="L319" s="122"/>
      <c r="M319" s="122"/>
    </row>
    <row r="320" spans="1:13" x14ac:dyDescent="0.25">
      <c r="A320" t="s">
        <v>242</v>
      </c>
      <c r="B320" s="96">
        <v>44263</v>
      </c>
      <c r="C320" s="10">
        <f>5991.7</f>
        <v>5991.7</v>
      </c>
      <c r="D320" s="10">
        <f>8797.07</f>
        <v>8797.07</v>
      </c>
      <c r="E320" s="10">
        <v>16620.150000000001</v>
      </c>
      <c r="F320" s="10">
        <f>7428.191</f>
        <v>7428.1909999999998</v>
      </c>
      <c r="G320" s="99"/>
      <c r="H320" s="122"/>
      <c r="I320" s="122"/>
      <c r="J320" s="122"/>
      <c r="K320" s="122"/>
      <c r="L320" s="122"/>
      <c r="M320" s="122"/>
    </row>
    <row r="321" spans="1:13" x14ac:dyDescent="0.25">
      <c r="A321" t="s">
        <v>242</v>
      </c>
      <c r="B321" s="96">
        <v>44264</v>
      </c>
      <c r="C321" s="10">
        <f>6030.97</f>
        <v>6030.97</v>
      </c>
      <c r="D321" s="10">
        <f>8797.07</f>
        <v>8797.07</v>
      </c>
      <c r="E321" s="10">
        <v>16534.04</v>
      </c>
      <c r="F321" s="10">
        <f>7405.211</f>
        <v>7405.2110000000002</v>
      </c>
      <c r="G321" s="99"/>
      <c r="H321" s="122"/>
      <c r="I321" s="122"/>
      <c r="J321" s="122"/>
      <c r="K321" s="122"/>
      <c r="L321" s="122"/>
      <c r="M321" s="122"/>
    </row>
    <row r="322" spans="1:13" x14ac:dyDescent="0.25">
      <c r="A322" t="s">
        <v>242</v>
      </c>
      <c r="B322" s="96">
        <v>44265</v>
      </c>
      <c r="C322" s="10">
        <f>6315.97</f>
        <v>6315.97</v>
      </c>
      <c r="D322" s="10">
        <f>9197.24</f>
        <v>9197.24</v>
      </c>
      <c r="E322" s="10">
        <v>16982.79</v>
      </c>
      <c r="F322" s="10">
        <f>7720.761</f>
        <v>7720.7610000000004</v>
      </c>
      <c r="G322" s="99"/>
      <c r="H322" s="122"/>
      <c r="I322" s="122"/>
      <c r="J322" s="122"/>
      <c r="K322" s="122"/>
      <c r="L322" s="122"/>
      <c r="M322" s="122"/>
    </row>
    <row r="323" spans="1:13" x14ac:dyDescent="0.25">
      <c r="A323" t="s">
        <v>242</v>
      </c>
      <c r="B323" s="96">
        <v>44266</v>
      </c>
      <c r="C323" s="10">
        <f>6417.79</f>
        <v>6417.79</v>
      </c>
      <c r="D323" s="10">
        <f>9299.67</f>
        <v>9299.67</v>
      </c>
      <c r="E323" s="10">
        <v>16892.72</v>
      </c>
      <c r="F323" s="10">
        <f>7509.301</f>
        <v>7509.3010000000004</v>
      </c>
      <c r="G323" s="99"/>
      <c r="H323" s="122"/>
      <c r="I323" s="122"/>
      <c r="J323" s="122"/>
      <c r="K323" s="122"/>
      <c r="L323" s="122"/>
      <c r="M323" s="122"/>
    </row>
    <row r="324" spans="1:13" x14ac:dyDescent="0.25">
      <c r="A324" t="s">
        <v>242</v>
      </c>
      <c r="B324" s="96">
        <v>44267</v>
      </c>
      <c r="C324" s="10">
        <f>6326.58</f>
        <v>6326.58</v>
      </c>
      <c r="D324" s="10">
        <f>9376.01</f>
        <v>9376.01</v>
      </c>
      <c r="E324" s="10">
        <v>16948.95</v>
      </c>
      <c r="F324" s="10">
        <f>7441.5682</f>
        <v>7441.5681999999997</v>
      </c>
      <c r="G324" s="99"/>
      <c r="H324" s="122"/>
      <c r="I324" s="122"/>
      <c r="J324" s="122"/>
      <c r="K324" s="122"/>
      <c r="L324" s="122"/>
      <c r="M324" s="122"/>
    </row>
    <row r="325" spans="1:13" x14ac:dyDescent="0.25">
      <c r="A325" t="s">
        <v>242</v>
      </c>
      <c r="B325" s="96">
        <v>44270</v>
      </c>
      <c r="C325" s="10">
        <f>6104.11</f>
        <v>6104.11</v>
      </c>
      <c r="D325" s="10">
        <f>9197.58</f>
        <v>9197.58</v>
      </c>
      <c r="E325" s="10">
        <v>17244.330000000002</v>
      </c>
      <c r="F325" s="10">
        <f>7271.4702</f>
        <v>7271.4701999999997</v>
      </c>
      <c r="G325" s="99"/>
      <c r="H325" s="122"/>
      <c r="I325" s="122"/>
      <c r="J325" s="122"/>
      <c r="K325" s="122"/>
      <c r="L325" s="122"/>
      <c r="M325" s="122"/>
    </row>
    <row r="326" spans="1:13" x14ac:dyDescent="0.25">
      <c r="A326" t="s">
        <v>242</v>
      </c>
      <c r="B326" s="96">
        <v>44271</v>
      </c>
      <c r="C326" s="10">
        <f>6059.53</f>
        <v>6059.53</v>
      </c>
      <c r="D326" s="10">
        <f>9197.58</f>
        <v>9197.58</v>
      </c>
      <c r="E326" s="10">
        <v>17192.79</v>
      </c>
      <c r="F326" s="10">
        <f>8063.5602</f>
        <v>8063.5601999999999</v>
      </c>
      <c r="G326" s="99"/>
      <c r="H326" s="122"/>
      <c r="I326" s="122"/>
      <c r="J326" s="122"/>
      <c r="K326" s="122"/>
      <c r="L326" s="122"/>
      <c r="M326" s="122"/>
    </row>
    <row r="327" spans="1:13" x14ac:dyDescent="0.25">
      <c r="A327" t="s">
        <v>242</v>
      </c>
      <c r="B327" s="96">
        <v>44272</v>
      </c>
      <c r="C327" s="10">
        <f>6111.5</f>
        <v>6111.5</v>
      </c>
      <c r="D327" s="10">
        <f>9501.11</f>
        <v>9501.11</v>
      </c>
      <c r="E327" s="10">
        <v>17740.849999999999</v>
      </c>
      <c r="F327" s="10">
        <f>8006.7702</f>
        <v>8006.7701999999999</v>
      </c>
      <c r="G327" s="99"/>
      <c r="H327" s="122"/>
      <c r="I327" s="122"/>
      <c r="J327" s="122"/>
      <c r="K327" s="122"/>
      <c r="L327" s="122"/>
      <c r="M327" s="122"/>
    </row>
    <row r="328" spans="1:13" x14ac:dyDescent="0.25">
      <c r="A328" t="s">
        <v>242</v>
      </c>
      <c r="B328" s="96">
        <v>44273</v>
      </c>
      <c r="C328" s="10">
        <f>6074.86</f>
        <v>6074.86</v>
      </c>
      <c r="D328" s="10">
        <f>9685.23</f>
        <v>9685.23</v>
      </c>
      <c r="E328" s="10">
        <v>17687.64</v>
      </c>
      <c r="F328" s="10">
        <f>8108.2902</f>
        <v>8108.2902000000004</v>
      </c>
      <c r="G328" s="99"/>
      <c r="H328" s="122"/>
      <c r="I328" s="122"/>
      <c r="J328" s="122"/>
      <c r="K328" s="122"/>
      <c r="L328" s="122"/>
      <c r="M328" s="122"/>
    </row>
    <row r="329" spans="1:13" x14ac:dyDescent="0.25">
      <c r="A329" t="s">
        <v>242</v>
      </c>
      <c r="B329" s="96">
        <v>44274</v>
      </c>
      <c r="C329" s="10">
        <f>6200.85</f>
        <v>6200.85</v>
      </c>
      <c r="D329" s="10">
        <f>9710.32</f>
        <v>9710.32</v>
      </c>
      <c r="E329" s="10">
        <v>17769.509999999998</v>
      </c>
      <c r="F329" s="10">
        <f>8114.9002</f>
        <v>8114.9002</v>
      </c>
      <c r="G329" s="99"/>
      <c r="H329" s="122"/>
      <c r="I329" s="122"/>
      <c r="J329" s="122"/>
      <c r="K329" s="122"/>
      <c r="L329" s="122"/>
      <c r="M329" s="122"/>
    </row>
    <row r="330" spans="1:13" x14ac:dyDescent="0.25">
      <c r="A330" t="s">
        <v>242</v>
      </c>
      <c r="B330" s="96">
        <v>44277</v>
      </c>
      <c r="C330" s="10">
        <f>5959.75</f>
        <v>5959.75</v>
      </c>
      <c r="D330" s="10">
        <f>9778.63</f>
        <v>9778.6299999999992</v>
      </c>
      <c r="E330" s="10">
        <v>17667.77</v>
      </c>
      <c r="F330" s="10">
        <f>7488.5602</f>
        <v>7488.5601999999999</v>
      </c>
      <c r="G330" s="99"/>
      <c r="H330" s="122"/>
      <c r="I330" s="122"/>
      <c r="J330" s="122"/>
      <c r="K330" s="122"/>
      <c r="L330" s="122"/>
      <c r="M330" s="122"/>
    </row>
    <row r="331" spans="1:13" x14ac:dyDescent="0.25">
      <c r="A331" t="s">
        <v>242</v>
      </c>
      <c r="B331" s="96">
        <v>44278</v>
      </c>
      <c r="C331" s="10">
        <f>5961.3</f>
        <v>5961.3</v>
      </c>
      <c r="D331" s="10">
        <f>9512.63</f>
        <v>9512.6299999999992</v>
      </c>
      <c r="E331" s="10">
        <v>17544.150000000001</v>
      </c>
      <c r="F331" s="10">
        <f>7483.9402</f>
        <v>7483.9402</v>
      </c>
      <c r="G331" s="99"/>
      <c r="H331" s="122"/>
      <c r="I331" s="122"/>
      <c r="J331" s="122"/>
      <c r="K331" s="122"/>
      <c r="L331" s="122"/>
      <c r="M331" s="122"/>
    </row>
    <row r="332" spans="1:13" x14ac:dyDescent="0.25">
      <c r="A332" t="s">
        <v>242</v>
      </c>
      <c r="B332" s="96">
        <v>44279</v>
      </c>
      <c r="C332" s="10">
        <f>5942.64</f>
        <v>5942.64</v>
      </c>
      <c r="D332" s="10">
        <f>9692.55</f>
        <v>9692.5499999999993</v>
      </c>
      <c r="E332" s="10">
        <v>17645.75</v>
      </c>
      <c r="F332" s="10">
        <f>7620.7402</f>
        <v>7620.7402000000002</v>
      </c>
      <c r="G332" s="99"/>
      <c r="H332" s="122"/>
      <c r="I332" s="122"/>
      <c r="J332" s="122"/>
      <c r="K332" s="122"/>
      <c r="L332" s="122"/>
      <c r="M332" s="122"/>
    </row>
    <row r="333" spans="1:13" x14ac:dyDescent="0.25">
      <c r="A333" t="s">
        <v>242</v>
      </c>
      <c r="B333" s="96">
        <v>44280</v>
      </c>
      <c r="C333" s="10">
        <f>5822.74</f>
        <v>5822.74</v>
      </c>
      <c r="D333" s="10">
        <f>9733.68</f>
        <v>9733.68</v>
      </c>
      <c r="E333" s="10">
        <v>17666.259999999998</v>
      </c>
      <c r="F333" s="10">
        <f>7368.1502</f>
        <v>7368.1502</v>
      </c>
      <c r="G333" s="99"/>
      <c r="H333" s="122"/>
      <c r="I333" s="122"/>
      <c r="J333" s="122"/>
      <c r="K333" s="122"/>
      <c r="L333" s="122"/>
      <c r="M333" s="122"/>
    </row>
    <row r="334" spans="1:13" x14ac:dyDescent="0.25">
      <c r="A334" t="s">
        <v>242</v>
      </c>
      <c r="B334" s="96">
        <v>44281</v>
      </c>
      <c r="C334" s="10">
        <f>5799.66</f>
        <v>5799.66</v>
      </c>
      <c r="D334" s="10">
        <f>9739.18</f>
        <v>9739.18</v>
      </c>
      <c r="E334" s="10">
        <v>17912.8</v>
      </c>
      <c r="F334" s="10">
        <f>7658.1502</f>
        <v>7658.1502</v>
      </c>
      <c r="G334" s="99"/>
      <c r="H334" s="122"/>
      <c r="I334" s="122"/>
      <c r="J334" s="122"/>
      <c r="K334" s="122"/>
      <c r="L334" s="122"/>
      <c r="M334" s="122"/>
    </row>
    <row r="335" spans="1:13" x14ac:dyDescent="0.25">
      <c r="A335" t="s">
        <v>242</v>
      </c>
      <c r="B335" s="96">
        <v>44284</v>
      </c>
      <c r="C335" s="10">
        <f>6014.78</f>
        <v>6014.78</v>
      </c>
      <c r="D335" s="10">
        <f>9876.78</f>
        <v>9876.7800000000007</v>
      </c>
      <c r="E335" s="10">
        <v>18586.46</v>
      </c>
      <c r="F335" s="10">
        <f>7438.3522</f>
        <v>7438.3522000000003</v>
      </c>
      <c r="G335" s="99"/>
      <c r="H335" s="122"/>
      <c r="I335" s="122"/>
      <c r="J335" s="122"/>
      <c r="K335" s="122"/>
      <c r="L335" s="122"/>
      <c r="M335" s="122"/>
    </row>
    <row r="336" spans="1:13" x14ac:dyDescent="0.25">
      <c r="A336" t="s">
        <v>242</v>
      </c>
      <c r="B336" s="96">
        <v>44285</v>
      </c>
      <c r="C336" s="10">
        <f>6188.63</f>
        <v>6188.63</v>
      </c>
      <c r="D336" s="10">
        <f>9876.78</f>
        <v>9876.7800000000007</v>
      </c>
      <c r="E336" s="10">
        <v>18345.23</v>
      </c>
      <c r="F336" s="10">
        <f>7438.3522</f>
        <v>7438.3522000000003</v>
      </c>
      <c r="G336" s="99"/>
      <c r="H336" s="122"/>
      <c r="I336" s="122"/>
      <c r="J336" s="122"/>
      <c r="K336" s="122"/>
      <c r="L336" s="122"/>
      <c r="M336" s="122"/>
    </row>
    <row r="337" spans="1:13" x14ac:dyDescent="0.25">
      <c r="A337" t="s">
        <v>242</v>
      </c>
      <c r="B337" s="96">
        <v>44286</v>
      </c>
      <c r="C337" s="10">
        <f>6388.64</f>
        <v>6388.64</v>
      </c>
      <c r="D337" s="10">
        <f>10038.72</f>
        <v>10038.719999999999</v>
      </c>
      <c r="E337" s="10">
        <v>18155.79</v>
      </c>
      <c r="F337" s="10">
        <f>7600.3522</f>
        <v>7600.3522000000003</v>
      </c>
      <c r="G337" s="99"/>
      <c r="H337" s="122"/>
      <c r="I337" s="122"/>
      <c r="J337" s="122"/>
      <c r="K337" s="122"/>
      <c r="L337" s="122"/>
      <c r="M337" s="122"/>
    </row>
    <row r="338" spans="1:13" x14ac:dyDescent="0.25">
      <c r="A338" t="s">
        <v>243</v>
      </c>
      <c r="B338" s="96">
        <v>44287</v>
      </c>
      <c r="C338" s="10">
        <f>6532.79</f>
        <v>6532.79</v>
      </c>
      <c r="D338" s="10">
        <f>10010.54</f>
        <v>10010.540000000001</v>
      </c>
      <c r="E338" s="10">
        <v>17874.78</v>
      </c>
      <c r="F338" s="10">
        <f>7413.0222</f>
        <v>7413.0222000000003</v>
      </c>
      <c r="G338" s="99"/>
      <c r="H338" s="122"/>
      <c r="I338" s="122"/>
      <c r="J338" s="122"/>
      <c r="K338" s="122"/>
      <c r="L338" s="122"/>
      <c r="M338" s="122"/>
    </row>
    <row r="339" spans="1:13" x14ac:dyDescent="0.25">
      <c r="A339" t="s">
        <v>243</v>
      </c>
      <c r="B339" s="96">
        <v>44288</v>
      </c>
      <c r="C339" s="10">
        <f>6959.27</f>
        <v>6959.27</v>
      </c>
      <c r="D339" s="10">
        <f>9851.2</f>
        <v>9851.2000000000007</v>
      </c>
      <c r="E339" s="10">
        <v>17739.04</v>
      </c>
      <c r="F339" s="10">
        <f>7212.0222</f>
        <v>7212.0222000000003</v>
      </c>
      <c r="G339" s="99"/>
      <c r="H339" s="122"/>
      <c r="I339" s="122"/>
      <c r="J339" s="122"/>
      <c r="K339" s="122"/>
      <c r="L339" s="122"/>
      <c r="M339" s="122"/>
    </row>
    <row r="340" spans="1:13" x14ac:dyDescent="0.25">
      <c r="A340" t="s">
        <v>243</v>
      </c>
      <c r="B340" s="96">
        <v>44291</v>
      </c>
      <c r="C340" s="10">
        <f>6612.345</f>
        <v>6612.3450000000003</v>
      </c>
      <c r="D340" s="10">
        <f>10102.105</f>
        <v>10102.105</v>
      </c>
      <c r="E340" s="10">
        <v>17290.98</v>
      </c>
      <c r="F340" s="10">
        <f>6990.2622</f>
        <v>6990.2622000000001</v>
      </c>
      <c r="G340" s="99"/>
      <c r="H340" s="122"/>
      <c r="I340" s="122"/>
      <c r="J340" s="122"/>
      <c r="K340" s="122"/>
      <c r="L340" s="122"/>
      <c r="M340" s="122"/>
    </row>
    <row r="341" spans="1:13" x14ac:dyDescent="0.25">
      <c r="A341" t="s">
        <v>243</v>
      </c>
      <c r="B341" s="96">
        <v>44292</v>
      </c>
      <c r="C341" s="10">
        <f>6669.115</f>
        <v>6669.1149999999998</v>
      </c>
      <c r="D341" s="10">
        <f>10097.985</f>
        <v>10097.985000000001</v>
      </c>
      <c r="E341" s="10">
        <v>17077.509999999998</v>
      </c>
      <c r="F341" s="10">
        <f>6934.9922</f>
        <v>6934.9921999999997</v>
      </c>
      <c r="G341" s="99"/>
      <c r="H341" s="122"/>
      <c r="I341" s="122"/>
      <c r="J341" s="122"/>
      <c r="K341" s="122"/>
      <c r="L341" s="122"/>
      <c r="M341" s="122"/>
    </row>
    <row r="342" spans="1:13" x14ac:dyDescent="0.25">
      <c r="A342" t="s">
        <v>243</v>
      </c>
      <c r="B342" s="96">
        <v>44293</v>
      </c>
      <c r="C342" s="10">
        <f>6604.885</f>
        <v>6604.8850000000002</v>
      </c>
      <c r="D342" s="10">
        <f>10195.845</f>
        <v>10195.844999999999</v>
      </c>
      <c r="E342" s="10">
        <v>17297.27</v>
      </c>
      <c r="F342" s="10">
        <f>7003.0922</f>
        <v>7003.0922</v>
      </c>
      <c r="G342" s="99"/>
      <c r="H342" s="122"/>
      <c r="I342" s="122"/>
      <c r="J342" s="122"/>
      <c r="K342" s="122"/>
      <c r="L342" s="122"/>
      <c r="M342" s="122"/>
    </row>
    <row r="343" spans="1:13" x14ac:dyDescent="0.25">
      <c r="A343" t="s">
        <v>243</v>
      </c>
      <c r="B343" s="96">
        <v>44294</v>
      </c>
      <c r="C343" s="10">
        <f>6558.265</f>
        <v>6558.2650000000003</v>
      </c>
      <c r="D343" s="10">
        <f>10133.405</f>
        <v>10133.405000000001</v>
      </c>
      <c r="E343" s="10">
        <v>16916.939999999999</v>
      </c>
      <c r="F343" s="10">
        <f>6908.2422</f>
        <v>6908.2421999999997</v>
      </c>
      <c r="G343" s="99"/>
      <c r="H343" s="122"/>
      <c r="I343" s="122"/>
      <c r="J343" s="122"/>
      <c r="K343" s="122"/>
      <c r="L343" s="122"/>
      <c r="M343" s="122"/>
    </row>
    <row r="344" spans="1:13" x14ac:dyDescent="0.25">
      <c r="A344" t="s">
        <v>243</v>
      </c>
      <c r="B344" s="96">
        <v>44295</v>
      </c>
      <c r="C344" s="10">
        <f>6688.525</f>
        <v>6688.5249999999996</v>
      </c>
      <c r="D344" s="10">
        <f>10156.455</f>
        <v>10156.455</v>
      </c>
      <c r="E344" s="10">
        <v>16447.849999999999</v>
      </c>
      <c r="F344" s="10">
        <f>6901.4422</f>
        <v>6901.4422000000004</v>
      </c>
      <c r="G344" s="99"/>
      <c r="H344" s="122"/>
      <c r="I344" s="122"/>
      <c r="J344" s="122"/>
      <c r="K344" s="122"/>
      <c r="L344" s="122"/>
      <c r="M344" s="122"/>
    </row>
    <row r="345" spans="1:13" x14ac:dyDescent="0.25">
      <c r="A345" t="s">
        <v>243</v>
      </c>
      <c r="B345" s="96">
        <v>44301</v>
      </c>
      <c r="C345" s="10">
        <f>6476.89</f>
        <v>6476.89</v>
      </c>
      <c r="D345" s="10">
        <f>10013.29</f>
        <v>10013.290000000001</v>
      </c>
      <c r="E345" s="10">
        <v>15911.43</v>
      </c>
      <c r="F345" s="10">
        <f>7429.7322</f>
        <v>7429.7322000000004</v>
      </c>
      <c r="G345" s="99"/>
      <c r="H345" s="122"/>
      <c r="I345" s="122"/>
      <c r="J345" s="122"/>
      <c r="K345" s="122"/>
      <c r="L345" s="122"/>
      <c r="M345" s="122"/>
    </row>
    <row r="346" spans="1:13" x14ac:dyDescent="0.25">
      <c r="A346" t="s">
        <v>243</v>
      </c>
      <c r="B346" s="96">
        <v>44302</v>
      </c>
      <c r="C346" s="10">
        <f>6476.89</f>
        <v>6476.89</v>
      </c>
      <c r="D346" s="10">
        <f>10013.29</f>
        <v>10013.290000000001</v>
      </c>
      <c r="E346" s="10">
        <v>15911.29</v>
      </c>
      <c r="F346" s="10">
        <f>7429.7322</f>
        <v>7429.7322000000004</v>
      </c>
      <c r="G346" s="99"/>
      <c r="H346" s="122"/>
      <c r="I346" s="122"/>
      <c r="J346" s="122"/>
      <c r="K346" s="122"/>
      <c r="L346" s="122"/>
      <c r="M346" s="122"/>
    </row>
    <row r="347" spans="1:13" x14ac:dyDescent="0.25">
      <c r="A347" t="s">
        <v>243</v>
      </c>
      <c r="B347" s="96">
        <v>44305</v>
      </c>
      <c r="C347" s="10">
        <f>6329.55</f>
        <v>6329.55</v>
      </c>
      <c r="D347" s="10">
        <f>10290</f>
        <v>10290</v>
      </c>
      <c r="E347" s="10">
        <v>15992.99</v>
      </c>
      <c r="F347" s="10">
        <f>7723.7822</f>
        <v>7723.7821999999996</v>
      </c>
      <c r="G347" s="99"/>
      <c r="H347" s="122"/>
      <c r="I347" s="122"/>
      <c r="J347" s="122"/>
      <c r="K347" s="122"/>
      <c r="L347" s="122"/>
      <c r="M347" s="122"/>
    </row>
    <row r="348" spans="1:13" x14ac:dyDescent="0.25">
      <c r="A348" t="s">
        <v>243</v>
      </c>
      <c r="B348" s="96">
        <v>44306</v>
      </c>
      <c r="C348" s="10">
        <f>5923.31</f>
        <v>5923.31</v>
      </c>
      <c r="D348" s="10">
        <f>10290</f>
        <v>10290</v>
      </c>
      <c r="E348" s="10">
        <v>15947.09</v>
      </c>
      <c r="F348" s="10">
        <f>7723.7822</f>
        <v>7723.7821999999996</v>
      </c>
      <c r="G348" s="99"/>
      <c r="H348" s="122"/>
      <c r="I348" s="122"/>
      <c r="J348" s="122"/>
      <c r="K348" s="122"/>
      <c r="L348" s="122"/>
      <c r="M348" s="122"/>
    </row>
    <row r="349" spans="1:13" x14ac:dyDescent="0.25">
      <c r="A349" t="s">
        <v>243</v>
      </c>
      <c r="B349" s="96">
        <v>44307</v>
      </c>
      <c r="C349" s="10">
        <f>5579.69</f>
        <v>5579.69</v>
      </c>
      <c r="D349" s="10">
        <f>10385.93</f>
        <v>10385.93</v>
      </c>
      <c r="E349" s="10">
        <v>16195.61</v>
      </c>
      <c r="F349" s="10">
        <f>7819.6522</f>
        <v>7819.6522000000004</v>
      </c>
      <c r="G349" s="99"/>
      <c r="H349" s="122"/>
      <c r="I349" s="122"/>
      <c r="J349" s="122"/>
      <c r="K349" s="122"/>
      <c r="L349" s="122"/>
      <c r="M349" s="122"/>
    </row>
    <row r="350" spans="1:13" x14ac:dyDescent="0.25">
      <c r="A350" t="s">
        <v>243</v>
      </c>
      <c r="B350" s="96">
        <v>44308</v>
      </c>
      <c r="C350" s="10">
        <v>5332.41</v>
      </c>
      <c r="D350" s="10">
        <v>10491.98</v>
      </c>
      <c r="E350" s="10">
        <v>16324.61</v>
      </c>
      <c r="F350" s="10">
        <v>7593.0821999999998</v>
      </c>
      <c r="G350" s="99"/>
      <c r="H350" s="122"/>
      <c r="I350" s="122"/>
      <c r="J350" s="122"/>
      <c r="K350" s="122"/>
      <c r="L350" s="122"/>
      <c r="M350" s="122"/>
    </row>
    <row r="351" spans="1:13" x14ac:dyDescent="0.25">
      <c r="A351" t="s">
        <v>243</v>
      </c>
      <c r="B351" s="96">
        <v>44309</v>
      </c>
      <c r="C351" s="10">
        <v>5260.36</v>
      </c>
      <c r="D351" s="10">
        <v>10484.009999999998</v>
      </c>
      <c r="E351" s="10">
        <v>16619.21</v>
      </c>
      <c r="F351" s="10">
        <v>7784.8231999999998</v>
      </c>
      <c r="G351" s="99"/>
      <c r="H351" s="122"/>
      <c r="I351" s="122"/>
      <c r="J351" s="122"/>
      <c r="K351" s="122"/>
      <c r="L351" s="122"/>
      <c r="M351" s="122"/>
    </row>
    <row r="352" spans="1:13" x14ac:dyDescent="0.25">
      <c r="A352" t="s">
        <v>243</v>
      </c>
      <c r="B352" s="96">
        <v>44313</v>
      </c>
      <c r="C352" s="10">
        <v>5704.5349999999999</v>
      </c>
      <c r="D352" s="10">
        <v>9935.8049999999985</v>
      </c>
      <c r="E352" s="10">
        <v>17109.3</v>
      </c>
      <c r="F352" s="10">
        <v>7542.4132</v>
      </c>
      <c r="G352" s="99"/>
      <c r="H352" s="122"/>
      <c r="I352" s="122"/>
      <c r="J352" s="122"/>
      <c r="K352" s="122"/>
      <c r="L352" s="122"/>
      <c r="M352" s="122"/>
    </row>
    <row r="353" spans="1:13" x14ac:dyDescent="0.25">
      <c r="A353" t="s">
        <v>243</v>
      </c>
      <c r="B353" s="96">
        <v>44314</v>
      </c>
      <c r="C353" s="10">
        <v>5569.375</v>
      </c>
      <c r="D353" s="10">
        <v>9935.8049999999985</v>
      </c>
      <c r="E353" s="10">
        <v>17457.509999999998</v>
      </c>
      <c r="F353" s="10">
        <v>7543.8332</v>
      </c>
      <c r="G353" s="99"/>
      <c r="H353" s="122"/>
      <c r="I353" s="122"/>
      <c r="J353" s="122"/>
      <c r="K353" s="122"/>
      <c r="L353" s="122"/>
      <c r="M353" s="122"/>
    </row>
    <row r="354" spans="1:13" x14ac:dyDescent="0.25">
      <c r="A354" t="s">
        <v>243</v>
      </c>
      <c r="B354" s="96">
        <v>44315</v>
      </c>
      <c r="C354" s="10">
        <v>5625.4650000000001</v>
      </c>
      <c r="D354" s="10">
        <v>10084.484999999999</v>
      </c>
      <c r="E354" s="10">
        <v>17453.099999999999</v>
      </c>
      <c r="F354" s="10">
        <v>7417.3532000000005</v>
      </c>
      <c r="G354" s="436"/>
      <c r="H354" s="437"/>
      <c r="I354" s="437"/>
      <c r="J354" s="437"/>
      <c r="K354" s="437"/>
      <c r="L354" s="437"/>
      <c r="M354" s="437"/>
    </row>
    <row r="355" spans="1:13" x14ac:dyDescent="0.25">
      <c r="A355" t="s">
        <v>243</v>
      </c>
      <c r="B355" s="96">
        <v>44316</v>
      </c>
      <c r="C355" s="10">
        <v>5512.1449999999995</v>
      </c>
      <c r="D355" s="10">
        <v>9966.3049999999985</v>
      </c>
      <c r="E355" s="10">
        <v>17643.599999999999</v>
      </c>
      <c r="F355" s="10">
        <v>7287.9932000000008</v>
      </c>
      <c r="G355" s="99"/>
      <c r="H355" s="122"/>
      <c r="I355" s="122"/>
      <c r="J355" s="122"/>
      <c r="K355" s="122"/>
      <c r="L355" s="122"/>
      <c r="M355" s="122"/>
    </row>
    <row r="356" spans="1:13" x14ac:dyDescent="0.25">
      <c r="A356" t="s">
        <v>244</v>
      </c>
      <c r="B356" s="96">
        <v>44319</v>
      </c>
      <c r="C356" s="10">
        <v>5715.9749999999995</v>
      </c>
      <c r="D356" s="10">
        <v>9705.244999999999</v>
      </c>
      <c r="E356" s="10">
        <v>17576.259999999998</v>
      </c>
      <c r="F356" s="10">
        <v>6905.4400000000005</v>
      </c>
      <c r="G356" s="99"/>
      <c r="H356" s="122"/>
      <c r="I356" s="122"/>
      <c r="J356" s="122"/>
      <c r="K356" s="122"/>
      <c r="L356" s="122"/>
      <c r="M356" s="122"/>
    </row>
    <row r="357" spans="1:13" x14ac:dyDescent="0.25">
      <c r="A357" t="s">
        <v>244</v>
      </c>
      <c r="B357" s="96">
        <v>44320</v>
      </c>
      <c r="C357" s="10">
        <v>5800.2649999999994</v>
      </c>
      <c r="D357" s="10">
        <v>9705.244999999999</v>
      </c>
      <c r="E357" s="10">
        <v>17530.009999999998</v>
      </c>
      <c r="F357" s="10">
        <v>6905.4432000000006</v>
      </c>
      <c r="G357" s="99"/>
      <c r="H357" s="122"/>
      <c r="I357" s="122"/>
      <c r="J357" s="122"/>
      <c r="K357" s="122"/>
      <c r="L357" s="122"/>
      <c r="M357" s="122"/>
    </row>
    <row r="358" spans="1:13" x14ac:dyDescent="0.25">
      <c r="A358" t="s">
        <v>244</v>
      </c>
      <c r="B358" s="96">
        <v>44321</v>
      </c>
      <c r="C358" s="10">
        <v>5494.0249999999996</v>
      </c>
      <c r="D358" s="10">
        <v>9764.0549999999985</v>
      </c>
      <c r="E358" s="10">
        <v>17993.95</v>
      </c>
      <c r="F358" s="10">
        <v>6982.5432000000001</v>
      </c>
      <c r="G358" s="99"/>
      <c r="H358" s="122"/>
      <c r="I358" s="122"/>
      <c r="J358" s="122"/>
      <c r="K358" s="122"/>
      <c r="L358" s="122"/>
      <c r="M358" s="122"/>
    </row>
    <row r="359" spans="1:13" x14ac:dyDescent="0.25">
      <c r="A359" t="s">
        <v>244</v>
      </c>
      <c r="B359" s="96">
        <v>44322</v>
      </c>
      <c r="C359" s="10">
        <v>5626.8249999999998</v>
      </c>
      <c r="D359" s="10">
        <v>9790.8249999999989</v>
      </c>
      <c r="E359" s="10">
        <v>18188.34</v>
      </c>
      <c r="F359" s="10">
        <v>7096.4332000000004</v>
      </c>
      <c r="G359" s="99"/>
      <c r="H359" s="122"/>
      <c r="I359" s="122"/>
      <c r="J359" s="122"/>
      <c r="K359" s="122"/>
      <c r="L359" s="122"/>
      <c r="M359" s="122"/>
    </row>
    <row r="360" spans="1:13" x14ac:dyDescent="0.25">
      <c r="A360" t="s">
        <v>244</v>
      </c>
      <c r="B360" s="96">
        <v>44323</v>
      </c>
      <c r="C360" s="10">
        <v>5739.5450000000001</v>
      </c>
      <c r="D360" s="10">
        <v>9652.5549999999985</v>
      </c>
      <c r="E360" s="10">
        <v>18476.18</v>
      </c>
      <c r="F360" s="10">
        <v>7000.7932000000001</v>
      </c>
      <c r="G360" s="99"/>
      <c r="H360" s="122"/>
      <c r="I360" s="122"/>
      <c r="J360" s="122"/>
      <c r="K360" s="122"/>
      <c r="L360" s="122"/>
      <c r="M360" s="122"/>
    </row>
    <row r="361" spans="1:13" x14ac:dyDescent="0.25">
      <c r="A361" t="s">
        <v>244</v>
      </c>
      <c r="B361" s="96">
        <v>44326</v>
      </c>
      <c r="C361" s="10">
        <v>5918.4449999999997</v>
      </c>
      <c r="D361" s="10">
        <v>8962.125</v>
      </c>
      <c r="E361" s="10">
        <v>18664.400000000001</v>
      </c>
      <c r="F361" s="10">
        <v>6730.6451999999999</v>
      </c>
      <c r="G361" s="99"/>
      <c r="H361" s="122"/>
      <c r="I361" s="122"/>
      <c r="J361" s="122"/>
      <c r="K361" s="122"/>
      <c r="L361" s="122"/>
      <c r="M361" s="122"/>
    </row>
    <row r="362" spans="1:13" x14ac:dyDescent="0.25">
      <c r="A362" t="s">
        <v>244</v>
      </c>
      <c r="B362" s="96">
        <v>44327</v>
      </c>
      <c r="C362" s="10">
        <v>5894.8649999999998</v>
      </c>
      <c r="D362" s="10">
        <v>8952.2749999999996</v>
      </c>
      <c r="E362" s="10">
        <v>18272.7</v>
      </c>
      <c r="F362" s="10">
        <v>6728.9952000000003</v>
      </c>
      <c r="G362" s="99"/>
      <c r="H362" s="122"/>
      <c r="I362" s="122"/>
      <c r="J362" s="122"/>
      <c r="K362" s="122"/>
      <c r="L362" s="122"/>
      <c r="M362" s="122"/>
    </row>
    <row r="363" spans="1:13" x14ac:dyDescent="0.25">
      <c r="A363" t="s">
        <v>244</v>
      </c>
      <c r="B363" s="96">
        <v>44328</v>
      </c>
      <c r="C363" s="10">
        <v>5776.585</v>
      </c>
      <c r="D363" s="10">
        <v>9138.0349999999999</v>
      </c>
      <c r="E363" s="10">
        <v>18626.099999999999</v>
      </c>
      <c r="F363" s="10">
        <v>6809.0652</v>
      </c>
      <c r="G363" s="99"/>
      <c r="H363" s="122"/>
      <c r="I363" s="122"/>
      <c r="J363" s="122"/>
      <c r="K363" s="122"/>
      <c r="L363" s="122"/>
      <c r="M363" s="122"/>
    </row>
    <row r="364" spans="1:13" x14ac:dyDescent="0.25">
      <c r="A364" t="s">
        <v>244</v>
      </c>
      <c r="B364" s="96">
        <v>44329</v>
      </c>
      <c r="C364" s="10">
        <v>5875.3850000000002</v>
      </c>
      <c r="D364" s="10">
        <v>9146.3049999999985</v>
      </c>
      <c r="E364" s="10">
        <v>18806.11</v>
      </c>
      <c r="F364" s="10">
        <v>6927.9252000000006</v>
      </c>
      <c r="G364" s="99"/>
      <c r="H364" s="122"/>
      <c r="I364" s="122"/>
      <c r="J364" s="122"/>
      <c r="K364" s="122"/>
      <c r="L364" s="122"/>
      <c r="M364" s="122"/>
    </row>
    <row r="365" spans="1:13" x14ac:dyDescent="0.25">
      <c r="A365" t="s">
        <v>244</v>
      </c>
      <c r="B365" s="96">
        <v>44330</v>
      </c>
      <c r="C365" s="10">
        <v>6020.8249999999998</v>
      </c>
      <c r="D365" s="10">
        <v>9237.5149999999994</v>
      </c>
      <c r="E365" s="10">
        <v>18718.22</v>
      </c>
      <c r="F365" s="10">
        <v>6831.2952000000005</v>
      </c>
      <c r="G365" s="99"/>
      <c r="H365" s="122"/>
      <c r="I365" s="122"/>
      <c r="J365" s="122"/>
      <c r="K365" s="122"/>
      <c r="L365" s="122"/>
      <c r="M365" s="122"/>
    </row>
    <row r="366" spans="1:13" x14ac:dyDescent="0.25">
      <c r="A366" t="s">
        <v>244</v>
      </c>
      <c r="B366" s="96">
        <v>44332</v>
      </c>
      <c r="C366" s="10">
        <v>6478.0199999999995</v>
      </c>
      <c r="D366" s="10">
        <v>9288.0199999999986</v>
      </c>
      <c r="E366" s="10">
        <v>18211.59</v>
      </c>
      <c r="F366" s="10">
        <v>6939.4161999999997</v>
      </c>
      <c r="G366" s="99"/>
      <c r="H366" s="122"/>
      <c r="I366" s="122"/>
      <c r="J366" s="122"/>
      <c r="K366" s="122"/>
      <c r="L366" s="122"/>
      <c r="M366" s="122"/>
    </row>
    <row r="367" spans="1:13" x14ac:dyDescent="0.25">
      <c r="A367" t="s">
        <v>244</v>
      </c>
      <c r="B367" s="96">
        <v>44333</v>
      </c>
      <c r="C367" s="10">
        <v>6478.0199999999995</v>
      </c>
      <c r="D367" s="10">
        <v>9288.0199999999986</v>
      </c>
      <c r="E367" s="10">
        <v>17928.36</v>
      </c>
      <c r="F367" s="10">
        <v>6939.4161999999997</v>
      </c>
      <c r="G367" s="99"/>
      <c r="H367" s="122"/>
      <c r="I367" s="122"/>
      <c r="J367" s="122"/>
      <c r="K367" s="122"/>
      <c r="L367" s="122"/>
      <c r="M367" s="122"/>
    </row>
    <row r="368" spans="1:13" x14ac:dyDescent="0.25">
      <c r="A368" t="s">
        <v>244</v>
      </c>
      <c r="B368" s="96">
        <v>44334</v>
      </c>
      <c r="C368" s="10">
        <v>6365.51</v>
      </c>
      <c r="D368" s="10">
        <v>9383.3499999999985</v>
      </c>
      <c r="E368" s="10">
        <v>18341.759999999998</v>
      </c>
      <c r="F368" s="10">
        <v>6995.7961999999998</v>
      </c>
      <c r="G368" s="99"/>
      <c r="H368" s="122"/>
      <c r="I368" s="122"/>
      <c r="J368" s="122"/>
      <c r="K368" s="122"/>
      <c r="L368" s="122"/>
      <c r="M368" s="122"/>
    </row>
    <row r="369" spans="1:13" x14ac:dyDescent="0.25">
      <c r="A369" t="s">
        <v>244</v>
      </c>
      <c r="B369" s="96">
        <v>44335</v>
      </c>
      <c r="C369" s="10">
        <v>6382.57</v>
      </c>
      <c r="D369" s="10">
        <v>9371.59</v>
      </c>
      <c r="E369" s="10">
        <v>18062.46</v>
      </c>
      <c r="F369" s="10">
        <v>7231.2362000000003</v>
      </c>
      <c r="G369" s="99"/>
      <c r="H369" s="122"/>
      <c r="I369" s="122"/>
      <c r="J369" s="122"/>
      <c r="K369" s="122"/>
      <c r="L369" s="122"/>
      <c r="M369" s="122"/>
    </row>
    <row r="370" spans="1:13" x14ac:dyDescent="0.25">
      <c r="A370" t="s">
        <v>244</v>
      </c>
      <c r="B370" s="96">
        <v>44336</v>
      </c>
      <c r="C370" s="10">
        <v>6545.44</v>
      </c>
      <c r="D370" s="10">
        <v>9354.92</v>
      </c>
      <c r="E370" s="10">
        <v>17791.62</v>
      </c>
      <c r="F370" s="10">
        <v>7310.2861999999996</v>
      </c>
      <c r="G370" s="99"/>
      <c r="H370" s="122"/>
      <c r="I370" s="122"/>
      <c r="J370" s="122"/>
      <c r="K370" s="122"/>
      <c r="L370" s="122"/>
      <c r="M370" s="122"/>
    </row>
    <row r="371" spans="1:13" x14ac:dyDescent="0.25">
      <c r="A371" t="s">
        <v>244</v>
      </c>
      <c r="B371" s="96">
        <v>44339</v>
      </c>
      <c r="C371" s="10">
        <v>6730.8450000000003</v>
      </c>
      <c r="D371" s="10">
        <v>9203.9049999999988</v>
      </c>
      <c r="E371" s="10">
        <v>18070.96</v>
      </c>
      <c r="F371" s="10">
        <v>7607.1032000000005</v>
      </c>
      <c r="G371" s="99"/>
      <c r="H371" s="122"/>
      <c r="I371" s="122"/>
      <c r="J371" s="122"/>
      <c r="K371" s="122"/>
      <c r="L371" s="122"/>
      <c r="M371" s="122"/>
    </row>
    <row r="372" spans="1:13" x14ac:dyDescent="0.25">
      <c r="A372" t="s">
        <v>244</v>
      </c>
      <c r="B372" s="96">
        <v>44341</v>
      </c>
      <c r="C372" s="10">
        <v>6739.9645</v>
      </c>
      <c r="D372" s="10">
        <v>9279.1593999999968</v>
      </c>
      <c r="E372" s="10">
        <v>17851.523000000001</v>
      </c>
      <c r="F372" s="10">
        <v>7936.11</v>
      </c>
      <c r="G372" s="99"/>
      <c r="H372" s="122"/>
      <c r="I372" s="122"/>
      <c r="J372" s="122"/>
      <c r="K372" s="122"/>
      <c r="L372" s="122"/>
      <c r="M372" s="122"/>
    </row>
    <row r="373" spans="1:13" x14ac:dyDescent="0.25">
      <c r="A373" t="s">
        <v>244</v>
      </c>
      <c r="B373" s="96">
        <v>44344</v>
      </c>
      <c r="C373" s="10">
        <v>6666.2191000000012</v>
      </c>
      <c r="D373" s="10">
        <v>8939.8293999999969</v>
      </c>
      <c r="E373" s="10">
        <v>17271.619500000004</v>
      </c>
      <c r="F373" s="10">
        <v>7973.454999999999</v>
      </c>
      <c r="G373" s="99"/>
      <c r="H373" s="122"/>
      <c r="I373" s="122"/>
      <c r="J373" s="122"/>
      <c r="K373" s="122"/>
      <c r="L373" s="122"/>
      <c r="M373" s="122"/>
    </row>
    <row r="374" spans="1:13" x14ac:dyDescent="0.25">
      <c r="A374" t="s">
        <v>244</v>
      </c>
      <c r="B374" s="96">
        <v>44347</v>
      </c>
      <c r="C374" s="10">
        <v>7588.1158000000014</v>
      </c>
      <c r="D374" s="10">
        <v>8978.8536000000022</v>
      </c>
      <c r="E374" s="10">
        <v>17620.593400000002</v>
      </c>
      <c r="F374" s="10">
        <v>8107.1319999999987</v>
      </c>
      <c r="G374" s="99"/>
      <c r="H374" s="122"/>
      <c r="I374" s="122"/>
      <c r="J374" s="122"/>
      <c r="K374" s="122"/>
      <c r="L374" s="122"/>
      <c r="M374" s="122"/>
    </row>
    <row r="375" spans="1:13" x14ac:dyDescent="0.25">
      <c r="A375" t="s">
        <v>245</v>
      </c>
      <c r="B375" s="96">
        <v>44348</v>
      </c>
      <c r="C375" s="10">
        <v>7850.4932000000017</v>
      </c>
      <c r="D375" s="10">
        <v>9309.6106999999993</v>
      </c>
      <c r="E375" s="10">
        <v>17952.159199999998</v>
      </c>
      <c r="F375" s="10">
        <v>8095.5250000000005</v>
      </c>
      <c r="G375" s="99"/>
      <c r="H375" s="122"/>
      <c r="I375" s="122"/>
      <c r="J375" s="122"/>
      <c r="K375" s="122"/>
      <c r="L375" s="122"/>
      <c r="M375" s="122"/>
    </row>
    <row r="376" spans="1:13" x14ac:dyDescent="0.25">
      <c r="A376" t="s">
        <v>245</v>
      </c>
      <c r="B376" s="96">
        <v>44349</v>
      </c>
      <c r="C376" s="10">
        <v>7989.647100000002</v>
      </c>
      <c r="D376" s="10">
        <v>9463.6947999999993</v>
      </c>
      <c r="E376" s="10">
        <v>18259.794399999999</v>
      </c>
      <c r="F376" s="10">
        <v>8001.8470000000007</v>
      </c>
      <c r="G376" s="99"/>
      <c r="H376" s="122"/>
      <c r="I376" s="122"/>
      <c r="J376" s="122"/>
      <c r="K376" s="122"/>
      <c r="L376" s="122"/>
      <c r="M376" s="122"/>
    </row>
    <row r="377" spans="1:13" x14ac:dyDescent="0.25">
      <c r="A377" t="s">
        <v>245</v>
      </c>
      <c r="B377" s="96">
        <v>44350</v>
      </c>
      <c r="C377" s="10">
        <v>7980.232500000001</v>
      </c>
      <c r="D377" s="10">
        <v>9552.9889000000021</v>
      </c>
      <c r="E377" s="10">
        <v>18350.175300000003</v>
      </c>
      <c r="F377" s="10">
        <v>8066.8770000000004</v>
      </c>
      <c r="G377" s="99"/>
      <c r="H377" s="122"/>
      <c r="I377" s="122"/>
      <c r="J377" s="122"/>
      <c r="K377" s="122"/>
      <c r="L377" s="122"/>
      <c r="M377" s="122"/>
    </row>
    <row r="378" spans="1:13" x14ac:dyDescent="0.25">
      <c r="A378" t="s">
        <v>245</v>
      </c>
      <c r="B378" s="96">
        <v>44351</v>
      </c>
      <c r="C378" s="10">
        <v>8115.7653000000009</v>
      </c>
      <c r="D378" s="10">
        <v>9855.6967999999997</v>
      </c>
      <c r="E378" s="10">
        <v>18534.209000000003</v>
      </c>
      <c r="F378" s="10">
        <v>7954.2759999999998</v>
      </c>
      <c r="G378" s="99"/>
      <c r="H378" s="122"/>
      <c r="I378" s="122"/>
      <c r="J378" s="122"/>
      <c r="K378" s="122"/>
      <c r="L378" s="122"/>
      <c r="M378" s="122"/>
    </row>
    <row r="379" spans="1:13" x14ac:dyDescent="0.25">
      <c r="A379" t="s">
        <v>245</v>
      </c>
      <c r="B379" s="96">
        <v>44352</v>
      </c>
      <c r="C379" s="10">
        <v>7931.9880999999996</v>
      </c>
      <c r="D379" s="10">
        <v>9834.6804000000011</v>
      </c>
      <c r="E379" s="10">
        <v>18657.955600000005</v>
      </c>
      <c r="F379" s="10">
        <v>7950.1289999999999</v>
      </c>
      <c r="G379" s="99"/>
      <c r="H379" s="122"/>
      <c r="I379" s="122"/>
      <c r="J379" s="122"/>
      <c r="K379" s="122"/>
      <c r="L379" s="122"/>
      <c r="M379" s="122"/>
    </row>
    <row r="380" spans="1:13" x14ac:dyDescent="0.25">
      <c r="A380" t="s">
        <v>245</v>
      </c>
      <c r="B380" s="96">
        <v>44354</v>
      </c>
      <c r="C380" s="10">
        <v>7866.0278999999991</v>
      </c>
      <c r="D380" s="10">
        <v>9662.5083999999988</v>
      </c>
      <c r="E380" s="10">
        <v>18533.292600000001</v>
      </c>
      <c r="F380" s="10">
        <v>7878.0240000000003</v>
      </c>
      <c r="G380" s="99"/>
      <c r="H380" s="122"/>
      <c r="I380" s="122"/>
      <c r="J380" s="122"/>
      <c r="K380" s="122"/>
      <c r="L380" s="122"/>
      <c r="M380" s="122"/>
    </row>
    <row r="381" spans="1:13" x14ac:dyDescent="0.25">
      <c r="A381" t="s">
        <v>245</v>
      </c>
      <c r="B381" s="96">
        <v>44355</v>
      </c>
      <c r="C381" s="10">
        <v>7869.1760999999988</v>
      </c>
      <c r="D381" s="10">
        <v>9744.0672999999988</v>
      </c>
      <c r="E381" s="10">
        <v>18673.196199999998</v>
      </c>
      <c r="F381" s="10">
        <v>7893.3040000000001</v>
      </c>
      <c r="G381" s="99"/>
      <c r="H381" s="122"/>
      <c r="I381" s="122"/>
      <c r="J381" s="122"/>
      <c r="K381" s="122"/>
      <c r="L381" s="122"/>
      <c r="M381" s="122"/>
    </row>
    <row r="382" spans="1:13" x14ac:dyDescent="0.25">
      <c r="A382" t="s">
        <v>245</v>
      </c>
      <c r="B382" s="96">
        <v>44356</v>
      </c>
      <c r="C382" s="10">
        <v>7933.8887000000004</v>
      </c>
      <c r="D382" s="10">
        <v>9811.7062999999998</v>
      </c>
      <c r="E382" s="10">
        <v>18525.821599999999</v>
      </c>
      <c r="F382" s="10">
        <v>7995.11</v>
      </c>
      <c r="G382" s="99"/>
      <c r="H382" s="122"/>
      <c r="I382" s="122"/>
      <c r="J382" s="122"/>
      <c r="K382" s="122"/>
      <c r="L382" s="122"/>
      <c r="M382" s="122"/>
    </row>
    <row r="383" spans="1:13" x14ac:dyDescent="0.25">
      <c r="A383" t="s">
        <v>245</v>
      </c>
      <c r="B383" s="96">
        <v>44357</v>
      </c>
      <c r="C383" s="10">
        <v>8151.1785</v>
      </c>
      <c r="D383" s="10">
        <v>9733.2892999999967</v>
      </c>
      <c r="E383" s="10">
        <v>18498.341099999998</v>
      </c>
      <c r="F383" s="10">
        <v>8157.4509999999991</v>
      </c>
      <c r="G383" s="10"/>
      <c r="H383" s="122"/>
      <c r="I383" s="122"/>
      <c r="J383" s="122"/>
      <c r="K383" s="122"/>
      <c r="L383" s="122"/>
      <c r="M383" s="122"/>
    </row>
    <row r="384" spans="1:13" x14ac:dyDescent="0.25">
      <c r="A384" t="s">
        <v>245</v>
      </c>
      <c r="B384" s="96">
        <v>44358</v>
      </c>
      <c r="C384" s="10">
        <v>8198.4057000000012</v>
      </c>
      <c r="D384" s="10">
        <v>9664.8064000000013</v>
      </c>
      <c r="E384" s="10">
        <v>18765.667400000002</v>
      </c>
      <c r="F384" s="10">
        <v>8039.8289999999997</v>
      </c>
      <c r="G384" s="99"/>
      <c r="H384" s="122"/>
      <c r="I384" s="122"/>
      <c r="J384" s="122"/>
      <c r="K384" s="122"/>
      <c r="L384" s="122"/>
      <c r="M384" s="122"/>
    </row>
    <row r="385" spans="1:13" x14ac:dyDescent="0.25">
      <c r="A385" t="s">
        <v>245</v>
      </c>
      <c r="B385" s="96">
        <v>44361</v>
      </c>
      <c r="C385" s="10">
        <v>8626.0802000000003</v>
      </c>
      <c r="D385" s="10">
        <v>9344.4488999999994</v>
      </c>
      <c r="E385" s="10">
        <v>18853.097000000005</v>
      </c>
      <c r="F385" s="10">
        <v>7648.4859999999999</v>
      </c>
      <c r="G385" s="10"/>
      <c r="H385" s="122"/>
      <c r="I385" s="122"/>
      <c r="J385" s="122"/>
      <c r="K385" s="122"/>
      <c r="L385" s="122"/>
      <c r="M385" s="122"/>
    </row>
    <row r="386" spans="1:13" x14ac:dyDescent="0.25">
      <c r="A386" t="s">
        <v>245</v>
      </c>
      <c r="B386" s="96">
        <v>44362</v>
      </c>
      <c r="C386" s="10">
        <v>8502.6291000000001</v>
      </c>
      <c r="D386" s="10">
        <v>9557.3628999999983</v>
      </c>
      <c r="E386" s="10">
        <v>19022.881900000004</v>
      </c>
      <c r="F386" s="10">
        <v>7722.9690000000001</v>
      </c>
      <c r="G386" s="99"/>
      <c r="H386" s="122"/>
      <c r="I386" s="122"/>
      <c r="J386" s="122"/>
      <c r="K386" s="122"/>
      <c r="L386" s="122"/>
      <c r="M386" s="122"/>
    </row>
    <row r="387" spans="1:13" x14ac:dyDescent="0.25">
      <c r="A387" t="s">
        <v>245</v>
      </c>
      <c r="B387" s="96">
        <v>44363</v>
      </c>
      <c r="C387" s="10">
        <v>8532.9991000000009</v>
      </c>
      <c r="D387" s="10">
        <v>9527.4107999999997</v>
      </c>
      <c r="E387" s="10">
        <v>19214.633800000003</v>
      </c>
      <c r="F387" s="10">
        <v>7780.3969999999999</v>
      </c>
      <c r="G387" s="99"/>
      <c r="H387" s="122"/>
      <c r="I387" s="122"/>
      <c r="J387" s="122"/>
      <c r="K387" s="122"/>
      <c r="L387" s="122"/>
      <c r="M387" s="122"/>
    </row>
    <row r="388" spans="1:13" x14ac:dyDescent="0.25">
      <c r="A388" t="s">
        <v>245</v>
      </c>
      <c r="B388" s="96">
        <v>44364</v>
      </c>
      <c r="C388" s="10">
        <v>8574.802499999998</v>
      </c>
      <c r="D388" s="10">
        <v>9643.9287999999979</v>
      </c>
      <c r="E388" s="10">
        <v>19364.540399999994</v>
      </c>
      <c r="F388" s="10">
        <v>8177.5649999999996</v>
      </c>
      <c r="G388" s="99"/>
      <c r="H388" s="122"/>
      <c r="I388" s="122"/>
      <c r="J388" s="122"/>
      <c r="K388" s="122"/>
      <c r="L388" s="122"/>
      <c r="M388" s="122"/>
    </row>
    <row r="389" spans="1:13" x14ac:dyDescent="0.25">
      <c r="A389" t="s">
        <v>245</v>
      </c>
      <c r="B389" s="96">
        <v>44365</v>
      </c>
      <c r="C389" s="10">
        <v>8634.3262999999988</v>
      </c>
      <c r="D389" s="10">
        <v>9829.4649000000009</v>
      </c>
      <c r="E389" s="10">
        <v>19366.871800000001</v>
      </c>
      <c r="F389" s="10">
        <v>8438.4069999999992</v>
      </c>
      <c r="G389" s="99"/>
      <c r="H389" s="122"/>
      <c r="I389" s="122"/>
      <c r="J389" s="122"/>
      <c r="K389" s="122"/>
      <c r="L389" s="122"/>
      <c r="M389" s="122"/>
    </row>
    <row r="390" spans="1:13" x14ac:dyDescent="0.25">
      <c r="A390" t="s">
        <v>245</v>
      </c>
      <c r="B390" s="96">
        <v>44368</v>
      </c>
      <c r="C390" s="10">
        <v>8918.0612000000001</v>
      </c>
      <c r="D390" s="10">
        <v>9535.6278999999995</v>
      </c>
      <c r="E390" s="10">
        <v>19047.1469</v>
      </c>
      <c r="F390" s="10">
        <v>8320.9480000000003</v>
      </c>
      <c r="G390" s="99"/>
      <c r="H390" s="122"/>
      <c r="I390" s="122"/>
      <c r="J390" s="122"/>
      <c r="K390" s="122"/>
      <c r="L390" s="122"/>
      <c r="M390" s="122"/>
    </row>
    <row r="391" spans="1:13" x14ac:dyDescent="0.25">
      <c r="A391" t="s">
        <v>245</v>
      </c>
      <c r="B391" s="96">
        <v>44369</v>
      </c>
      <c r="C391" s="10">
        <v>8841.9038</v>
      </c>
      <c r="D391" s="10">
        <v>9699.8848999999973</v>
      </c>
      <c r="E391" s="10">
        <v>19342.205700000002</v>
      </c>
      <c r="F391" s="10">
        <v>8392</v>
      </c>
      <c r="G391" s="99"/>
      <c r="H391" s="122"/>
      <c r="I391" s="122"/>
      <c r="J391" s="122"/>
      <c r="K391" s="122"/>
      <c r="L391" s="122"/>
      <c r="M391" s="122"/>
    </row>
    <row r="392" spans="1:13" x14ac:dyDescent="0.25">
      <c r="A392" t="s">
        <v>245</v>
      </c>
      <c r="B392" s="96">
        <v>44370</v>
      </c>
      <c r="C392" s="10">
        <v>8911.7068999999992</v>
      </c>
      <c r="D392" s="10">
        <v>9661.4498000000003</v>
      </c>
      <c r="E392" s="10">
        <v>19456.211200000005</v>
      </c>
      <c r="F392" s="10">
        <v>8400.7654999999995</v>
      </c>
      <c r="G392" s="99"/>
      <c r="H392" s="122"/>
      <c r="I392" s="122"/>
      <c r="J392" s="122"/>
      <c r="K392" s="122"/>
      <c r="L392" s="122"/>
      <c r="M392" s="122"/>
    </row>
    <row r="393" spans="1:13" x14ac:dyDescent="0.25">
      <c r="A393" t="s">
        <v>245</v>
      </c>
      <c r="B393" s="96">
        <v>44372</v>
      </c>
      <c r="C393" s="10">
        <v>8735.1530000000021</v>
      </c>
      <c r="D393" s="10">
        <v>9383.5158999999985</v>
      </c>
      <c r="E393" s="10">
        <v>19286.8102</v>
      </c>
      <c r="F393" s="10">
        <v>8187.0985000000001</v>
      </c>
      <c r="G393" s="99"/>
      <c r="H393" s="122"/>
      <c r="I393" s="122"/>
      <c r="J393" s="122"/>
      <c r="K393" s="122"/>
      <c r="L393" s="122"/>
      <c r="M393" s="122"/>
    </row>
    <row r="394" spans="1:13" x14ac:dyDescent="0.25">
      <c r="A394" t="s">
        <v>245</v>
      </c>
      <c r="B394" s="96">
        <v>44375</v>
      </c>
      <c r="C394" s="10">
        <v>8791.1887999999999</v>
      </c>
      <c r="D394" s="10">
        <v>9296.8639000000003</v>
      </c>
      <c r="E394" s="10">
        <v>19134.834399999996</v>
      </c>
      <c r="F394" s="10">
        <v>8076.7214999999997</v>
      </c>
      <c r="G394" s="99"/>
      <c r="H394" s="122"/>
      <c r="I394" s="122"/>
      <c r="J394" s="122"/>
      <c r="K394" s="122"/>
      <c r="L394" s="122"/>
      <c r="M394" s="122"/>
    </row>
    <row r="395" spans="1:13" x14ac:dyDescent="0.25">
      <c r="A395" t="s">
        <v>245</v>
      </c>
      <c r="B395" s="96">
        <v>44376</v>
      </c>
      <c r="C395" s="10">
        <v>8681.7502000000004</v>
      </c>
      <c r="D395" s="10">
        <v>9460.3168999999998</v>
      </c>
      <c r="E395" s="10">
        <v>19273.908300000003</v>
      </c>
      <c r="F395" s="10">
        <v>8155.3774999999996</v>
      </c>
      <c r="G395" s="99"/>
      <c r="H395" s="122"/>
      <c r="I395" s="122"/>
      <c r="J395" s="122"/>
      <c r="K395" s="122"/>
      <c r="L395" s="122"/>
      <c r="M395" s="122"/>
    </row>
    <row r="396" spans="1:13" x14ac:dyDescent="0.25">
      <c r="A396" t="s">
        <v>245</v>
      </c>
      <c r="B396" s="96">
        <v>44377</v>
      </c>
      <c r="C396" s="10">
        <v>8766.7731999999996</v>
      </c>
      <c r="D396" s="10">
        <v>9521.7468999999983</v>
      </c>
      <c r="E396" s="10">
        <v>19623.7608</v>
      </c>
      <c r="F396" s="10">
        <v>8500.9580000000005</v>
      </c>
      <c r="G396" s="99"/>
      <c r="H396" s="122"/>
      <c r="I396" s="122"/>
      <c r="J396" s="122"/>
      <c r="K396" s="122"/>
      <c r="L396" s="122"/>
      <c r="M396" s="122"/>
    </row>
    <row r="397" spans="1:13" x14ac:dyDescent="0.25">
      <c r="A397" t="s">
        <v>246</v>
      </c>
      <c r="B397" s="96">
        <v>44378</v>
      </c>
      <c r="C397" s="10">
        <v>8740.3624</v>
      </c>
      <c r="D397" s="10">
        <v>9492.3979000000018</v>
      </c>
      <c r="E397" s="10">
        <v>20007.558100000002</v>
      </c>
      <c r="F397" s="10">
        <v>8453.3719999999994</v>
      </c>
      <c r="G397" s="99"/>
      <c r="H397" s="122"/>
      <c r="I397" s="122"/>
      <c r="J397" s="122"/>
      <c r="K397" s="122"/>
      <c r="L397" s="122"/>
      <c r="M397" s="122"/>
    </row>
    <row r="398" spans="1:13" x14ac:dyDescent="0.25">
      <c r="A398" t="s">
        <v>246</v>
      </c>
      <c r="B398" s="96">
        <v>44379</v>
      </c>
      <c r="C398" s="10">
        <v>8309.2520000000004</v>
      </c>
      <c r="D398" s="10">
        <v>9623.2689000000009</v>
      </c>
      <c r="E398" s="10">
        <v>20093.164900000003</v>
      </c>
      <c r="F398" s="10">
        <v>8305.3430000000008</v>
      </c>
      <c r="G398" s="99"/>
      <c r="H398" s="122"/>
      <c r="I398" s="122"/>
      <c r="J398" s="122"/>
      <c r="K398" s="122"/>
      <c r="L398" s="122"/>
      <c r="M398" s="122"/>
    </row>
    <row r="399" spans="1:13" x14ac:dyDescent="0.25">
      <c r="A399" t="s">
        <v>246</v>
      </c>
      <c r="B399" s="96">
        <v>44382</v>
      </c>
      <c r="C399" s="10">
        <v>8349.5617000000002</v>
      </c>
      <c r="D399" s="10">
        <v>9659.7817999999988</v>
      </c>
      <c r="E399" s="10">
        <v>19891.375500000006</v>
      </c>
      <c r="F399" s="10">
        <v>8327.3549999999996</v>
      </c>
      <c r="G399" s="99"/>
      <c r="H399" s="122"/>
      <c r="I399" s="122"/>
      <c r="J399" s="122"/>
      <c r="K399" s="122"/>
      <c r="L399" s="122"/>
      <c r="M399" s="122"/>
    </row>
    <row r="400" spans="1:13" x14ac:dyDescent="0.25">
      <c r="A400" t="s">
        <v>246</v>
      </c>
      <c r="B400" s="96">
        <v>44383</v>
      </c>
      <c r="C400" s="10">
        <v>8329.7824999999993</v>
      </c>
      <c r="D400" s="10">
        <v>9878.6969000000008</v>
      </c>
      <c r="E400" s="10">
        <v>20094.024400000006</v>
      </c>
      <c r="F400" s="10">
        <v>8360.6229999999996</v>
      </c>
      <c r="G400" s="99"/>
      <c r="H400" s="122"/>
      <c r="I400" s="122"/>
      <c r="J400" s="122"/>
      <c r="K400" s="122"/>
      <c r="L400" s="122"/>
      <c r="M400" s="122"/>
    </row>
    <row r="401" spans="1:13" x14ac:dyDescent="0.25">
      <c r="A401" t="s">
        <v>246</v>
      </c>
      <c r="B401" s="96">
        <v>44384</v>
      </c>
      <c r="C401" s="10">
        <v>8368.8696999999993</v>
      </c>
      <c r="D401" s="10">
        <v>9920.4578000000001</v>
      </c>
      <c r="E401" s="10">
        <v>20056.593499999999</v>
      </c>
      <c r="F401" s="10">
        <v>8230.9920000000002</v>
      </c>
      <c r="G401" s="99"/>
      <c r="H401" s="122"/>
      <c r="I401" s="122"/>
      <c r="J401" s="122"/>
      <c r="K401" s="122"/>
      <c r="L401" s="122"/>
      <c r="M401" s="122"/>
    </row>
    <row r="402" spans="1:13" x14ac:dyDescent="0.25">
      <c r="A402" t="s">
        <v>246</v>
      </c>
      <c r="B402" s="96">
        <v>44385</v>
      </c>
      <c r="C402" s="10">
        <v>8501.5293999999994</v>
      </c>
      <c r="D402" s="10">
        <v>9925.8359999999993</v>
      </c>
      <c r="E402" s="10">
        <v>20346.328500000007</v>
      </c>
      <c r="F402" s="10">
        <v>8178.9039999999995</v>
      </c>
      <c r="G402" s="99"/>
      <c r="H402" s="122"/>
      <c r="I402" s="122"/>
      <c r="J402" s="122"/>
      <c r="K402" s="122"/>
      <c r="L402" s="122"/>
      <c r="M402" s="122"/>
    </row>
    <row r="403" spans="1:13" x14ac:dyDescent="0.25">
      <c r="A403" t="s">
        <v>246</v>
      </c>
      <c r="B403" s="96">
        <v>44386</v>
      </c>
      <c r="C403" s="10">
        <v>8403.1111999999994</v>
      </c>
      <c r="D403" s="10">
        <v>9996.0820000000003</v>
      </c>
      <c r="E403" s="10">
        <v>20583.405599999998</v>
      </c>
      <c r="F403" s="10">
        <v>8122.5540000000001</v>
      </c>
      <c r="G403" s="99"/>
      <c r="H403" s="122"/>
      <c r="I403" s="122"/>
      <c r="J403" s="122"/>
      <c r="K403" s="122"/>
      <c r="L403" s="122"/>
      <c r="M403" s="122"/>
    </row>
    <row r="404" spans="1:13" x14ac:dyDescent="0.25">
      <c r="A404" t="s">
        <v>246</v>
      </c>
      <c r="B404" s="96">
        <v>44389</v>
      </c>
      <c r="C404" s="10">
        <v>8533.1997000000028</v>
      </c>
      <c r="D404" s="10">
        <v>9888.2546999999977</v>
      </c>
      <c r="E404" s="10">
        <v>19868.872199999998</v>
      </c>
      <c r="F404" s="10">
        <v>7852.7849999999999</v>
      </c>
      <c r="G404" s="99"/>
      <c r="H404" s="122"/>
      <c r="I404" s="122"/>
      <c r="J404" s="122"/>
      <c r="K404" s="122"/>
      <c r="L404" s="122"/>
      <c r="M404" s="122"/>
    </row>
    <row r="405" spans="1:13" x14ac:dyDescent="0.25">
      <c r="A405" t="s">
        <v>246</v>
      </c>
      <c r="B405" s="96">
        <v>44390</v>
      </c>
      <c r="C405" s="10">
        <v>8388.9114000000009</v>
      </c>
      <c r="D405" s="10">
        <v>10038.370799999999</v>
      </c>
      <c r="E405" s="10">
        <v>20063.8033</v>
      </c>
      <c r="F405" s="10">
        <v>7991.1760000000004</v>
      </c>
      <c r="G405" s="99"/>
      <c r="H405" s="122"/>
      <c r="I405" s="122"/>
      <c r="J405" s="122"/>
      <c r="K405" s="122"/>
      <c r="L405" s="122"/>
      <c r="M405" s="122"/>
    </row>
    <row r="406" spans="1:13" x14ac:dyDescent="0.25">
      <c r="A406" t="s">
        <v>246</v>
      </c>
      <c r="B406" s="96">
        <v>44391</v>
      </c>
      <c r="C406" s="10">
        <v>8497.5000000000018</v>
      </c>
      <c r="D406" s="10">
        <v>10072.143099999999</v>
      </c>
      <c r="E406" s="10">
        <v>20118.201900000004</v>
      </c>
      <c r="F406" s="10">
        <v>8139.6382999999996</v>
      </c>
      <c r="G406" s="99"/>
      <c r="H406" s="122"/>
      <c r="I406" s="122"/>
      <c r="J406" s="122"/>
      <c r="K406" s="122"/>
      <c r="L406" s="122"/>
      <c r="M406" s="122"/>
    </row>
    <row r="407" spans="1:13" x14ac:dyDescent="0.25">
      <c r="A407" t="s">
        <v>246</v>
      </c>
      <c r="B407" s="96">
        <v>44392</v>
      </c>
      <c r="C407" s="10">
        <v>8481.946100000001</v>
      </c>
      <c r="D407" s="10">
        <v>9854.4521000000022</v>
      </c>
      <c r="E407" s="10">
        <v>22683.996399999996</v>
      </c>
      <c r="F407" s="10">
        <v>7734.1689999999999</v>
      </c>
      <c r="G407" s="99"/>
      <c r="H407" s="122"/>
      <c r="I407" s="122"/>
      <c r="J407" s="122"/>
      <c r="K407" s="122"/>
      <c r="L407" s="122"/>
      <c r="M407" s="122"/>
    </row>
    <row r="408" spans="1:13" x14ac:dyDescent="0.25">
      <c r="A408" t="s">
        <v>246</v>
      </c>
      <c r="B408" s="96">
        <v>44393</v>
      </c>
      <c r="C408" s="10">
        <v>8470.3525999999983</v>
      </c>
      <c r="D408" s="10">
        <v>9995.7470999999987</v>
      </c>
      <c r="E408" s="10">
        <v>19938.719700000005</v>
      </c>
      <c r="F408" s="10">
        <v>7912.299</v>
      </c>
      <c r="G408" s="99"/>
      <c r="H408" s="122"/>
      <c r="I408" s="122"/>
      <c r="J408" s="122"/>
      <c r="K408" s="122"/>
      <c r="L408" s="122"/>
      <c r="M408" s="122"/>
    </row>
    <row r="409" spans="1:13" x14ac:dyDescent="0.25">
      <c r="A409" t="s">
        <v>246</v>
      </c>
      <c r="B409" s="96">
        <v>44396</v>
      </c>
      <c r="C409" s="10">
        <v>8337.0241000000024</v>
      </c>
      <c r="D409" s="10">
        <v>9882.4145999999982</v>
      </c>
      <c r="E409" s="10">
        <v>19816.2379</v>
      </c>
      <c r="F409" s="10">
        <v>7565.2809999999999</v>
      </c>
      <c r="G409" s="99"/>
      <c r="H409" s="122"/>
      <c r="I409" s="122"/>
      <c r="J409" s="122"/>
      <c r="K409" s="122"/>
      <c r="L409" s="122"/>
      <c r="M409" s="122"/>
    </row>
    <row r="410" spans="1:13" x14ac:dyDescent="0.25">
      <c r="A410" t="s">
        <v>246</v>
      </c>
      <c r="B410" s="96">
        <v>44397</v>
      </c>
      <c r="C410" s="10">
        <v>8195.9989999999998</v>
      </c>
      <c r="D410" s="10">
        <v>10110.9476</v>
      </c>
      <c r="E410" s="10">
        <v>20072.351000000006</v>
      </c>
      <c r="F410" s="10">
        <v>7652.4679999999998</v>
      </c>
      <c r="G410" s="99"/>
      <c r="H410" s="122"/>
      <c r="I410" s="122"/>
      <c r="J410" s="122"/>
      <c r="K410" s="122"/>
      <c r="L410" s="122"/>
      <c r="M410" s="122"/>
    </row>
    <row r="411" spans="1:13" x14ac:dyDescent="0.25">
      <c r="A411" t="s">
        <v>246</v>
      </c>
      <c r="B411" s="96">
        <v>44398</v>
      </c>
      <c r="C411" s="10">
        <v>8386.2100000000028</v>
      </c>
      <c r="D411" s="10">
        <v>10172.614599999999</v>
      </c>
      <c r="E411" s="10">
        <v>20063.535400000001</v>
      </c>
      <c r="F411" s="10">
        <v>7542.009</v>
      </c>
      <c r="G411" s="99"/>
      <c r="H411" s="122"/>
      <c r="I411" s="122"/>
      <c r="J411" s="122"/>
      <c r="K411" s="122"/>
      <c r="L411" s="122"/>
      <c r="M411" s="122"/>
    </row>
    <row r="412" spans="1:13" x14ac:dyDescent="0.25">
      <c r="A412" t="s">
        <v>246</v>
      </c>
      <c r="B412" s="96">
        <v>44399</v>
      </c>
      <c r="C412" s="10">
        <v>8616.0204000000012</v>
      </c>
      <c r="D412" s="10">
        <v>9904.6908999999996</v>
      </c>
      <c r="E412" s="10">
        <v>19768.527500000004</v>
      </c>
      <c r="F412" s="10">
        <v>7383.1989999999996</v>
      </c>
      <c r="G412" s="99"/>
      <c r="H412" s="122"/>
      <c r="I412" s="122"/>
      <c r="J412" s="122"/>
      <c r="K412" s="122"/>
      <c r="L412" s="122"/>
      <c r="M412" s="122"/>
    </row>
    <row r="413" spans="1:13" x14ac:dyDescent="0.25">
      <c r="A413" t="s">
        <v>246</v>
      </c>
      <c r="B413" s="96">
        <v>44403</v>
      </c>
      <c r="C413" s="10">
        <v>8331.4097000000002</v>
      </c>
      <c r="D413" s="10">
        <v>9770.3598999999977</v>
      </c>
      <c r="E413" s="10">
        <v>19876</v>
      </c>
      <c r="F413" s="10">
        <v>7432.29</v>
      </c>
      <c r="G413" s="99"/>
      <c r="H413" s="122"/>
      <c r="I413" s="122"/>
      <c r="J413" s="122"/>
      <c r="K413" s="122"/>
      <c r="L413" s="122"/>
      <c r="M413" s="122"/>
    </row>
    <row r="414" spans="1:13" x14ac:dyDescent="0.25">
      <c r="A414" t="s">
        <v>246</v>
      </c>
      <c r="B414" s="96">
        <v>44404</v>
      </c>
      <c r="C414" s="10">
        <v>8115.5706</v>
      </c>
      <c r="D414" s="10">
        <v>9816.3209000000006</v>
      </c>
      <c r="E414" s="10">
        <v>19953</v>
      </c>
      <c r="F414" s="10">
        <v>7507.1670000000004</v>
      </c>
      <c r="G414" s="99"/>
      <c r="H414" s="122"/>
      <c r="I414" s="122"/>
      <c r="J414" s="122"/>
      <c r="K414" s="122"/>
      <c r="L414" s="122"/>
      <c r="M414" s="122"/>
    </row>
    <row r="415" spans="1:13" x14ac:dyDescent="0.25">
      <c r="A415" t="s">
        <v>246</v>
      </c>
      <c r="B415" s="96">
        <v>44405</v>
      </c>
      <c r="C415" s="10">
        <v>8086.8652000000002</v>
      </c>
      <c r="D415" s="10">
        <v>9742.0659999999971</v>
      </c>
      <c r="E415" s="10">
        <v>20131.639400000004</v>
      </c>
      <c r="F415" s="10">
        <v>7598.5829999999996</v>
      </c>
      <c r="G415" s="99"/>
      <c r="H415" s="122"/>
      <c r="I415" s="122"/>
      <c r="J415" s="122"/>
      <c r="K415" s="122"/>
      <c r="L415" s="122"/>
      <c r="M415" s="122"/>
    </row>
    <row r="416" spans="1:13" x14ac:dyDescent="0.25">
      <c r="A416" t="s">
        <v>246</v>
      </c>
      <c r="B416" s="96">
        <v>44406</v>
      </c>
      <c r="C416" s="10">
        <v>7941.4096000000009</v>
      </c>
      <c r="D416" s="10">
        <v>9726.2994000000017</v>
      </c>
      <c r="E416" s="10">
        <v>20022.752799999998</v>
      </c>
      <c r="F416" s="10">
        <v>7514.0439999999999</v>
      </c>
      <c r="G416" s="99"/>
      <c r="H416" s="122"/>
      <c r="I416" s="122"/>
      <c r="J416" s="122"/>
      <c r="K416" s="122"/>
      <c r="L416" s="122"/>
      <c r="M416" s="122"/>
    </row>
    <row r="417" spans="1:13" x14ac:dyDescent="0.25">
      <c r="A417" t="s">
        <v>246</v>
      </c>
      <c r="B417" s="96">
        <v>44407</v>
      </c>
      <c r="C417" s="10">
        <v>7796.3578999999982</v>
      </c>
      <c r="D417" s="10">
        <v>9639.0703000000012</v>
      </c>
      <c r="E417" s="10">
        <v>20307.580100000003</v>
      </c>
      <c r="F417" s="10">
        <v>7379.5820000000003</v>
      </c>
      <c r="G417" s="99"/>
      <c r="H417" s="122"/>
      <c r="I417" s="122"/>
      <c r="J417" s="122"/>
      <c r="K417" s="122"/>
      <c r="L417" s="122"/>
      <c r="M417" s="122"/>
    </row>
    <row r="418" spans="1:13" x14ac:dyDescent="0.25">
      <c r="A418" t="s">
        <v>247</v>
      </c>
      <c r="B418" s="96">
        <v>44410</v>
      </c>
      <c r="C418" s="10">
        <v>7635.7039000000004</v>
      </c>
      <c r="D418" s="10">
        <v>9272.4282000000003</v>
      </c>
      <c r="E418" s="10">
        <v>19776.806999999997</v>
      </c>
      <c r="F418" s="10">
        <v>7486.1840000000002</v>
      </c>
      <c r="G418" s="99"/>
      <c r="H418" s="122"/>
      <c r="I418" s="122"/>
      <c r="J418" s="122"/>
      <c r="K418" s="122"/>
      <c r="L418" s="122"/>
      <c r="M418" s="122"/>
    </row>
    <row r="419" spans="1:13" x14ac:dyDescent="0.25">
      <c r="A419" t="s">
        <v>247</v>
      </c>
      <c r="B419" s="96">
        <v>44411</v>
      </c>
      <c r="C419" s="10">
        <v>7569.6697999999988</v>
      </c>
      <c r="D419" s="10">
        <v>9504.5150999999987</v>
      </c>
      <c r="E419" s="10">
        <v>19894.0772</v>
      </c>
      <c r="F419" s="10">
        <v>7580.1940000000004</v>
      </c>
      <c r="G419" s="99"/>
      <c r="H419" s="122"/>
      <c r="I419" s="122"/>
      <c r="J419" s="122"/>
      <c r="K419" s="122"/>
      <c r="L419" s="122"/>
      <c r="M419" s="122"/>
    </row>
    <row r="420" spans="1:13" x14ac:dyDescent="0.25">
      <c r="A420" t="s">
        <v>247</v>
      </c>
      <c r="B420" s="96">
        <v>44412</v>
      </c>
      <c r="C420" s="10">
        <v>7551.5038999999988</v>
      </c>
      <c r="D420" s="10">
        <v>9593.1502</v>
      </c>
      <c r="E420" s="10">
        <v>19920.552300000003</v>
      </c>
      <c r="F420" s="10">
        <v>7560.0334999999995</v>
      </c>
      <c r="G420" s="99"/>
      <c r="H420" s="122"/>
      <c r="I420" s="122"/>
      <c r="J420" s="122"/>
      <c r="K420" s="122"/>
      <c r="L420" s="122"/>
      <c r="M420" s="122"/>
    </row>
    <row r="421" spans="1:13" x14ac:dyDescent="0.25">
      <c r="A421" t="s">
        <v>247</v>
      </c>
      <c r="B421" s="96">
        <v>44413</v>
      </c>
      <c r="C421" s="10">
        <v>7534.3219000000008</v>
      </c>
      <c r="D421" s="10">
        <v>9638.7482</v>
      </c>
      <c r="E421" s="10">
        <v>19793.452999999998</v>
      </c>
      <c r="F421" s="10">
        <v>7329.3029999999999</v>
      </c>
      <c r="G421" s="436"/>
      <c r="H421" s="437"/>
      <c r="I421" s="437"/>
      <c r="J421" s="437"/>
      <c r="K421" s="437"/>
      <c r="L421" s="437"/>
      <c r="M421" s="437"/>
    </row>
    <row r="422" spans="1:13" x14ac:dyDescent="0.25">
      <c r="A422" t="s">
        <v>247</v>
      </c>
      <c r="B422" s="96">
        <v>44414</v>
      </c>
      <c r="C422" s="10">
        <v>7480.3026</v>
      </c>
      <c r="D422" s="10">
        <v>9738.2753000000012</v>
      </c>
      <c r="E422" s="10">
        <v>19752.475900000001</v>
      </c>
      <c r="F422" s="10">
        <v>7329.3029999999999</v>
      </c>
      <c r="G422" s="99"/>
      <c r="H422" s="122"/>
      <c r="I422" s="122"/>
      <c r="J422" s="122"/>
      <c r="K422" s="122"/>
      <c r="L422" s="122"/>
      <c r="M422" s="122"/>
    </row>
    <row r="423" spans="1:13" x14ac:dyDescent="0.25">
      <c r="A423" t="s">
        <v>247</v>
      </c>
      <c r="B423" s="96">
        <v>44417</v>
      </c>
      <c r="C423" s="10">
        <v>7654.5534000000016</v>
      </c>
      <c r="D423" s="10">
        <v>9565.4919999999984</v>
      </c>
      <c r="E423" s="10">
        <v>19431.129099999995</v>
      </c>
      <c r="F423" s="10">
        <v>7023.2794999999996</v>
      </c>
      <c r="G423" s="99"/>
      <c r="H423" s="122"/>
      <c r="I423" s="122"/>
      <c r="J423" s="122"/>
      <c r="K423" s="122"/>
      <c r="L423" s="122"/>
      <c r="M423" s="122"/>
    </row>
    <row r="424" spans="1:13" x14ac:dyDescent="0.25">
      <c r="A424" t="s">
        <v>247</v>
      </c>
      <c r="B424" s="96">
        <v>44418</v>
      </c>
      <c r="C424" s="10">
        <v>7524.7337999999982</v>
      </c>
      <c r="D424" s="10">
        <v>9612.6865999999991</v>
      </c>
      <c r="E424" s="10">
        <v>19440.811099999995</v>
      </c>
      <c r="F424" s="10">
        <v>7192.4264999999996</v>
      </c>
      <c r="G424" s="436"/>
      <c r="H424" s="437"/>
      <c r="I424" s="437"/>
      <c r="J424" s="437"/>
      <c r="K424" s="437"/>
      <c r="L424" s="437"/>
      <c r="M424" s="437"/>
    </row>
    <row r="425" spans="1:13" x14ac:dyDescent="0.25">
      <c r="A425" t="s">
        <v>247</v>
      </c>
      <c r="B425" s="96">
        <v>44420</v>
      </c>
      <c r="C425" s="10">
        <v>7851</v>
      </c>
      <c r="D425" s="10">
        <v>9590</v>
      </c>
      <c r="E425" s="10">
        <v>18587</v>
      </c>
      <c r="F425" s="10">
        <v>7562</v>
      </c>
      <c r="G425" s="99"/>
      <c r="H425" s="122"/>
      <c r="I425" s="122"/>
      <c r="J425" s="122"/>
      <c r="K425" s="122"/>
      <c r="L425" s="122"/>
      <c r="M425" s="122"/>
    </row>
    <row r="426" spans="1:13" x14ac:dyDescent="0.25">
      <c r="A426" t="s">
        <v>247</v>
      </c>
      <c r="B426" s="96">
        <v>44421</v>
      </c>
      <c r="C426" s="10">
        <v>7903</v>
      </c>
      <c r="D426" s="10">
        <v>9705</v>
      </c>
      <c r="E426" s="10">
        <v>18597</v>
      </c>
      <c r="F426" s="10">
        <v>7317</v>
      </c>
      <c r="G426" s="99"/>
      <c r="H426" s="122"/>
      <c r="I426" s="122"/>
      <c r="J426" s="122"/>
      <c r="K426" s="122"/>
      <c r="L426" s="122"/>
      <c r="M426" s="122"/>
    </row>
    <row r="427" spans="1:13" x14ac:dyDescent="0.25">
      <c r="A427" t="s">
        <v>247</v>
      </c>
      <c r="B427" s="96">
        <v>44424</v>
      </c>
      <c r="C427" s="10">
        <v>8409.1695999999993</v>
      </c>
      <c r="D427" s="10">
        <v>9619.827299999999</v>
      </c>
      <c r="E427" s="10">
        <v>18272.235099999994</v>
      </c>
      <c r="F427" s="10">
        <v>6973.4430000000002</v>
      </c>
      <c r="G427" s="99"/>
      <c r="H427" s="122"/>
      <c r="I427" s="122"/>
      <c r="J427" s="122"/>
      <c r="K427" s="122"/>
      <c r="L427" s="122"/>
      <c r="M427" s="122"/>
    </row>
    <row r="428" spans="1:13" x14ac:dyDescent="0.25">
      <c r="A428" t="s">
        <v>247</v>
      </c>
      <c r="B428" s="96">
        <v>44425</v>
      </c>
      <c r="C428" s="10">
        <v>8457.6740000000009</v>
      </c>
      <c r="D428" s="10">
        <v>9773.2410999999975</v>
      </c>
      <c r="E428" s="10">
        <v>18417.446199999995</v>
      </c>
      <c r="F428" s="10">
        <v>6811.4641999999994</v>
      </c>
      <c r="G428" s="99"/>
      <c r="H428" s="122"/>
      <c r="I428" s="122"/>
      <c r="J428" s="122"/>
      <c r="K428" s="122"/>
      <c r="L428" s="122"/>
      <c r="M428" s="122"/>
    </row>
    <row r="429" spans="1:13" x14ac:dyDescent="0.25">
      <c r="A429" t="s">
        <v>247</v>
      </c>
      <c r="B429" s="96">
        <v>44426</v>
      </c>
      <c r="C429" s="10">
        <v>8745.9681</v>
      </c>
      <c r="D429" s="10">
        <v>9640.2830999999987</v>
      </c>
      <c r="E429" s="10">
        <v>18634.083299999998</v>
      </c>
      <c r="F429" s="10">
        <v>6880.652</v>
      </c>
      <c r="G429" s="99"/>
      <c r="H429" s="122"/>
      <c r="I429" s="122"/>
      <c r="J429" s="122"/>
      <c r="K429" s="122"/>
      <c r="L429" s="122"/>
      <c r="M429" s="122"/>
    </row>
    <row r="430" spans="1:13" x14ac:dyDescent="0.25">
      <c r="A430" t="s">
        <v>247</v>
      </c>
      <c r="B430" s="96">
        <v>44427</v>
      </c>
      <c r="C430" s="10">
        <v>8636.1430000000018</v>
      </c>
      <c r="D430" s="10">
        <v>9644.6479999999992</v>
      </c>
      <c r="E430" s="10">
        <v>18173.824499999999</v>
      </c>
      <c r="F430" s="10">
        <v>7015.3280000000004</v>
      </c>
      <c r="G430" s="99"/>
      <c r="H430" s="122"/>
      <c r="I430" s="122"/>
      <c r="J430" s="122"/>
      <c r="K430" s="122"/>
      <c r="L430" s="122"/>
      <c r="M430" s="122"/>
    </row>
    <row r="431" spans="1:13" x14ac:dyDescent="0.25">
      <c r="A431" t="s">
        <v>247</v>
      </c>
      <c r="B431" s="96">
        <v>44428</v>
      </c>
      <c r="C431" s="10">
        <v>8980.5917999999983</v>
      </c>
      <c r="D431" s="10">
        <v>9591.7775000000001</v>
      </c>
      <c r="E431" s="10">
        <v>17984.217700000001</v>
      </c>
      <c r="F431" s="10">
        <v>7013.8609999999999</v>
      </c>
      <c r="G431" s="99"/>
      <c r="H431" s="122"/>
      <c r="I431" s="122"/>
      <c r="J431" s="122"/>
      <c r="K431" s="122"/>
      <c r="L431" s="122"/>
      <c r="M431" s="122"/>
    </row>
    <row r="432" spans="1:13" x14ac:dyDescent="0.25">
      <c r="A432" t="s">
        <v>247</v>
      </c>
      <c r="B432" s="96">
        <v>44431</v>
      </c>
      <c r="C432" s="10">
        <v>9170.1368999999995</v>
      </c>
      <c r="D432" s="10">
        <v>9217.2245000000021</v>
      </c>
      <c r="E432" s="10">
        <v>17322.057100000005</v>
      </c>
      <c r="F432" s="10">
        <v>6909.7629999999999</v>
      </c>
      <c r="G432" s="436"/>
      <c r="H432" s="437"/>
      <c r="I432" s="437"/>
      <c r="J432" s="437"/>
      <c r="K432" s="437"/>
      <c r="L432" s="437"/>
      <c r="M432" s="437"/>
    </row>
    <row r="433" spans="1:13" x14ac:dyDescent="0.25">
      <c r="A433" t="s">
        <v>247</v>
      </c>
      <c r="B433" s="96">
        <v>44432</v>
      </c>
      <c r="C433" s="10">
        <v>9091.4836999999989</v>
      </c>
      <c r="D433" s="10">
        <v>9386.1964999999982</v>
      </c>
      <c r="E433" s="10">
        <v>17555.876799999998</v>
      </c>
      <c r="F433" s="10">
        <v>6965.8450000000003</v>
      </c>
      <c r="G433" s="436"/>
      <c r="H433" s="437"/>
      <c r="I433" s="437"/>
      <c r="J433" s="437"/>
      <c r="K433" s="437"/>
      <c r="L433" s="437"/>
      <c r="M433" s="437"/>
    </row>
    <row r="434" spans="1:13" x14ac:dyDescent="0.25">
      <c r="A434" t="s">
        <v>247</v>
      </c>
      <c r="B434" s="96">
        <v>44433</v>
      </c>
      <c r="C434" s="10">
        <v>9331.3715999999968</v>
      </c>
      <c r="D434" s="10">
        <v>9355.9555000000018</v>
      </c>
      <c r="E434" s="10">
        <v>17389.9375</v>
      </c>
      <c r="F434" s="10">
        <v>6943.5360000000001</v>
      </c>
      <c r="G434" s="99"/>
      <c r="H434" s="122"/>
      <c r="I434" s="122"/>
      <c r="J434" s="122"/>
      <c r="K434" s="122"/>
      <c r="L434" s="122"/>
      <c r="M434" s="122"/>
    </row>
    <row r="435" spans="1:13" x14ac:dyDescent="0.25">
      <c r="A435" t="s">
        <v>247</v>
      </c>
      <c r="B435" s="96">
        <v>44434</v>
      </c>
      <c r="C435" s="10">
        <v>9445.9521999999979</v>
      </c>
      <c r="D435" s="10">
        <v>9452.8444999999992</v>
      </c>
      <c r="E435" s="10">
        <v>16907.666699999998</v>
      </c>
      <c r="F435" s="10">
        <v>6902.7579999999998</v>
      </c>
      <c r="G435" s="99"/>
      <c r="H435" s="122"/>
      <c r="I435" s="122"/>
      <c r="J435" s="122"/>
      <c r="K435" s="122"/>
      <c r="L435" s="122"/>
      <c r="M435" s="122"/>
    </row>
    <row r="436" spans="1:13" x14ac:dyDescent="0.25">
      <c r="A436" t="s">
        <v>247</v>
      </c>
      <c r="B436" s="96">
        <v>44435</v>
      </c>
      <c r="C436" s="10">
        <v>9314.9054000000015</v>
      </c>
      <c r="D436" s="10">
        <v>9416.7068999999992</v>
      </c>
      <c r="E436" s="10">
        <v>17167.5962</v>
      </c>
      <c r="F436" s="10">
        <v>6768.86</v>
      </c>
      <c r="G436" s="436"/>
      <c r="H436" s="437"/>
      <c r="I436" s="437"/>
      <c r="J436" s="437"/>
      <c r="K436" s="437"/>
      <c r="L436" s="437"/>
      <c r="M436" s="437"/>
    </row>
    <row r="437" spans="1:13" x14ac:dyDescent="0.25">
      <c r="A437" t="s">
        <v>247</v>
      </c>
      <c r="B437" s="96">
        <v>44438</v>
      </c>
      <c r="C437" s="10">
        <v>9204.5152999999991</v>
      </c>
      <c r="D437" s="10">
        <v>8924.1458999999995</v>
      </c>
      <c r="E437" s="10">
        <v>16929.964199999999</v>
      </c>
      <c r="F437" s="10">
        <v>6837.9930000000004</v>
      </c>
      <c r="G437" s="99"/>
      <c r="H437" s="122"/>
      <c r="I437" s="122"/>
      <c r="J437" s="122"/>
      <c r="K437" s="122"/>
      <c r="L437" s="122"/>
      <c r="M437" s="122"/>
    </row>
    <row r="438" spans="1:13" x14ac:dyDescent="0.25">
      <c r="A438" t="s">
        <v>247</v>
      </c>
      <c r="B438" s="96">
        <v>44439</v>
      </c>
      <c r="C438" s="10">
        <v>9055.8719999999994</v>
      </c>
      <c r="D438" s="10">
        <v>9078.4128999999994</v>
      </c>
      <c r="E438" s="10">
        <v>16268</v>
      </c>
      <c r="F438" s="10">
        <v>6918.9189999999999</v>
      </c>
      <c r="G438" s="99"/>
      <c r="H438" s="122"/>
      <c r="I438" s="122"/>
      <c r="J438" s="122"/>
      <c r="K438" s="122"/>
      <c r="L438" s="122"/>
      <c r="M438" s="122"/>
    </row>
    <row r="439" spans="1:13" x14ac:dyDescent="0.25">
      <c r="A439" t="s">
        <v>248</v>
      </c>
      <c r="B439" s="96">
        <v>44440</v>
      </c>
      <c r="C439" s="10">
        <v>8963.2637000000013</v>
      </c>
      <c r="D439" s="10">
        <v>8964.9208999999992</v>
      </c>
      <c r="E439" s="10">
        <v>16115</v>
      </c>
      <c r="F439" s="10">
        <v>6897.0810000000001</v>
      </c>
      <c r="G439" s="99"/>
      <c r="H439" s="122"/>
      <c r="I439" s="122"/>
      <c r="J439" s="122"/>
      <c r="K439" s="122"/>
      <c r="L439" s="122"/>
      <c r="M439" s="122"/>
    </row>
    <row r="440" spans="1:13" x14ac:dyDescent="0.25">
      <c r="A440" t="s">
        <v>248</v>
      </c>
      <c r="B440" s="96">
        <v>44441</v>
      </c>
      <c r="C440" s="10">
        <v>8859.8646999999983</v>
      </c>
      <c r="D440" s="10">
        <v>9072.0398999999998</v>
      </c>
      <c r="E440" s="10">
        <v>16220</v>
      </c>
      <c r="F440" s="10">
        <v>6953.299</v>
      </c>
      <c r="G440" s="99"/>
      <c r="H440" s="122"/>
      <c r="I440" s="122"/>
      <c r="J440" s="122"/>
      <c r="K440" s="122"/>
      <c r="L440" s="122"/>
      <c r="M440" s="122"/>
    </row>
    <row r="441" spans="1:13" x14ac:dyDescent="0.25">
      <c r="A441" t="s">
        <v>248</v>
      </c>
      <c r="B441" s="96">
        <v>44445</v>
      </c>
      <c r="C441" s="10">
        <v>8449.2787000000008</v>
      </c>
      <c r="D441" s="10">
        <v>8785.1257999999998</v>
      </c>
      <c r="E441" s="10">
        <v>15889</v>
      </c>
      <c r="F441" s="10">
        <v>6465.56</v>
      </c>
      <c r="G441" s="436"/>
      <c r="H441" s="437"/>
      <c r="I441" s="437"/>
      <c r="J441" s="437"/>
      <c r="K441" s="437"/>
      <c r="L441" s="437"/>
      <c r="M441" s="437"/>
    </row>
    <row r="442" spans="1:13" x14ac:dyDescent="0.25">
      <c r="A442" t="s">
        <v>248</v>
      </c>
      <c r="B442" s="96">
        <v>44446</v>
      </c>
      <c r="C442" s="10">
        <v>8519.4992999999995</v>
      </c>
      <c r="D442" s="10">
        <v>8915.5227999999988</v>
      </c>
      <c r="E442" s="10">
        <v>15974</v>
      </c>
      <c r="F442" s="10">
        <v>6559.4219999999996</v>
      </c>
      <c r="G442" s="99"/>
      <c r="H442" s="122"/>
      <c r="I442" s="122"/>
      <c r="J442" s="122"/>
      <c r="K442" s="122"/>
      <c r="L442" s="122"/>
      <c r="M442" s="122"/>
    </row>
    <row r="443" spans="1:13" x14ac:dyDescent="0.25">
      <c r="A443" t="s">
        <v>248</v>
      </c>
      <c r="B443" s="96">
        <v>44447</v>
      </c>
      <c r="C443" s="10">
        <v>8649.3798999999999</v>
      </c>
      <c r="D443" s="10">
        <v>9002.0288</v>
      </c>
      <c r="E443" s="10">
        <v>15872</v>
      </c>
      <c r="F443" s="10">
        <v>6548.0829999999996</v>
      </c>
      <c r="G443" s="99"/>
      <c r="H443" s="122"/>
      <c r="I443" s="122"/>
      <c r="J443" s="122"/>
      <c r="K443" s="122"/>
      <c r="L443" s="122"/>
      <c r="M443" s="122"/>
    </row>
    <row r="444" spans="1:13" x14ac:dyDescent="0.25">
      <c r="A444" t="s">
        <v>248</v>
      </c>
      <c r="B444" s="96">
        <v>44448</v>
      </c>
      <c r="C444" s="10">
        <v>8389.8615000000027</v>
      </c>
      <c r="D444" s="10">
        <v>9083.7757999999994</v>
      </c>
      <c r="E444" s="10">
        <v>15880</v>
      </c>
      <c r="F444" s="10">
        <v>6660.741</v>
      </c>
      <c r="G444" s="436"/>
      <c r="H444" s="437"/>
      <c r="I444" s="437"/>
      <c r="J444" s="437"/>
      <c r="K444" s="437"/>
      <c r="L444" s="437"/>
      <c r="M444" s="437"/>
    </row>
    <row r="445" spans="1:13" x14ac:dyDescent="0.25">
      <c r="A445" t="s">
        <v>248</v>
      </c>
      <c r="B445" s="96">
        <v>44449</v>
      </c>
      <c r="C445" s="10">
        <v>8424.1649999999991</v>
      </c>
      <c r="D445" s="10">
        <v>9290.6787999999997</v>
      </c>
      <c r="E445" s="10">
        <v>16075</v>
      </c>
      <c r="F445" s="10">
        <v>6539.7110000000002</v>
      </c>
      <c r="G445" s="436"/>
      <c r="H445" s="437"/>
      <c r="I445" s="437"/>
      <c r="J445" s="437"/>
      <c r="K445" s="437"/>
      <c r="L445" s="437"/>
      <c r="M445" s="437"/>
    </row>
    <row r="446" spans="1:13" x14ac:dyDescent="0.25">
      <c r="A446" t="s">
        <v>248</v>
      </c>
      <c r="B446" s="96">
        <v>44452</v>
      </c>
      <c r="C446" s="10">
        <v>8622.4909999999982</v>
      </c>
      <c r="D446" s="10">
        <v>9340.8507999999983</v>
      </c>
      <c r="E446" s="10">
        <v>16392</v>
      </c>
      <c r="F446" s="10">
        <v>6319.8220000000001</v>
      </c>
      <c r="G446" s="99"/>
      <c r="H446" s="122"/>
      <c r="I446" s="122"/>
      <c r="J446" s="122"/>
      <c r="K446" s="122"/>
      <c r="L446" s="122"/>
      <c r="M446" s="122"/>
    </row>
    <row r="447" spans="1:13" x14ac:dyDescent="0.25">
      <c r="A447" t="s">
        <v>248</v>
      </c>
      <c r="B447" s="96">
        <v>44453</v>
      </c>
      <c r="C447" s="10">
        <v>8457.5336999999981</v>
      </c>
      <c r="D447" s="10">
        <v>9478.4188000000013</v>
      </c>
      <c r="E447" s="10">
        <v>16705</v>
      </c>
      <c r="F447" s="10">
        <v>6487.8959999999997</v>
      </c>
      <c r="G447" s="436"/>
      <c r="H447" s="437"/>
      <c r="I447" s="437"/>
      <c r="J447" s="437"/>
      <c r="K447" s="437"/>
      <c r="L447" s="437"/>
      <c r="M447" s="437"/>
    </row>
    <row r="448" spans="1:13" x14ac:dyDescent="0.25">
      <c r="A448" t="s">
        <v>248</v>
      </c>
      <c r="B448" s="96">
        <v>44454</v>
      </c>
      <c r="C448" s="10">
        <v>8710.1643999999997</v>
      </c>
      <c r="D448" s="10">
        <v>9651.9177999999993</v>
      </c>
      <c r="E448" s="10">
        <v>16920</v>
      </c>
      <c r="F448" s="10">
        <v>6832.3789999999999</v>
      </c>
      <c r="G448" s="99"/>
      <c r="H448" s="122"/>
      <c r="I448" s="122"/>
      <c r="J448" s="122"/>
      <c r="K448" s="122"/>
      <c r="L448" s="122"/>
      <c r="M448" s="122"/>
    </row>
    <row r="449" spans="1:13" x14ac:dyDescent="0.25">
      <c r="A449" t="s">
        <v>248</v>
      </c>
      <c r="B449" s="96">
        <v>44455</v>
      </c>
      <c r="C449" s="10">
        <v>8561.7971999999991</v>
      </c>
      <c r="D449" s="10">
        <v>9705.3768</v>
      </c>
      <c r="E449" s="10">
        <v>16872</v>
      </c>
      <c r="F449" s="10">
        <v>6791.2269999999999</v>
      </c>
      <c r="G449" s="99"/>
      <c r="H449" s="122"/>
      <c r="I449" s="122"/>
      <c r="J449" s="122"/>
      <c r="K449" s="122"/>
      <c r="L449" s="122"/>
      <c r="M449" s="122"/>
    </row>
    <row r="450" spans="1:13" x14ac:dyDescent="0.25">
      <c r="A450" t="s">
        <v>248</v>
      </c>
      <c r="B450" s="96">
        <v>44456</v>
      </c>
      <c r="C450" s="10">
        <v>8551.2837999999992</v>
      </c>
      <c r="D450" s="10">
        <v>9769.8048999999992</v>
      </c>
      <c r="E450" s="10">
        <v>16887</v>
      </c>
      <c r="F450" s="10">
        <v>6819.6959999999999</v>
      </c>
      <c r="G450" s="99"/>
      <c r="H450" s="122"/>
      <c r="I450" s="122"/>
      <c r="J450" s="122"/>
      <c r="K450" s="122"/>
      <c r="L450" s="122"/>
      <c r="M450" s="122"/>
    </row>
    <row r="451" spans="1:13" x14ac:dyDescent="0.25">
      <c r="A451" t="s">
        <v>248</v>
      </c>
      <c r="B451" s="96">
        <v>44460</v>
      </c>
      <c r="C451" s="10">
        <v>8227.5663000000004</v>
      </c>
      <c r="D451" s="10">
        <v>9468.1679000000004</v>
      </c>
      <c r="E451" s="10">
        <v>16536</v>
      </c>
      <c r="F451" s="10">
        <v>6709.5855000000001</v>
      </c>
      <c r="G451" s="99"/>
      <c r="H451" s="122"/>
      <c r="I451" s="122"/>
      <c r="J451" s="122"/>
      <c r="K451" s="122"/>
      <c r="L451" s="122"/>
      <c r="M451" s="122"/>
    </row>
    <row r="452" spans="1:13" x14ac:dyDescent="0.25">
      <c r="A452" t="s">
        <v>248</v>
      </c>
      <c r="B452" s="96">
        <v>44461</v>
      </c>
      <c r="C452" s="10">
        <v>8127.4345999999996</v>
      </c>
      <c r="D452" s="10">
        <v>9772.9258999999984</v>
      </c>
      <c r="E452" s="10">
        <v>16683</v>
      </c>
      <c r="F452" s="10">
        <v>6840.9030000000002</v>
      </c>
      <c r="G452" s="99"/>
      <c r="H452" s="122"/>
      <c r="I452" s="122"/>
      <c r="J452" s="122"/>
      <c r="K452" s="122"/>
      <c r="L452" s="122"/>
      <c r="M452" s="122"/>
    </row>
    <row r="453" spans="1:13" x14ac:dyDescent="0.25">
      <c r="A453" t="s">
        <v>248</v>
      </c>
      <c r="B453" s="96">
        <v>44462</v>
      </c>
      <c r="C453" s="10">
        <v>8037.5163999999995</v>
      </c>
      <c r="D453" s="10">
        <v>9919.4549000000006</v>
      </c>
      <c r="E453" s="10">
        <v>16551</v>
      </c>
      <c r="F453" s="10">
        <v>7021.9319999999998</v>
      </c>
      <c r="G453" s="99"/>
      <c r="H453" s="122"/>
      <c r="I453" s="122"/>
      <c r="J453" s="122"/>
      <c r="K453" s="122"/>
      <c r="L453" s="122"/>
      <c r="M453" s="122"/>
    </row>
    <row r="454" spans="1:13" x14ac:dyDescent="0.25">
      <c r="A454" t="s">
        <v>248</v>
      </c>
      <c r="B454" s="96">
        <v>44463</v>
      </c>
      <c r="C454" s="10">
        <v>8136.3928999999998</v>
      </c>
      <c r="D454" s="10">
        <v>9901.0319</v>
      </c>
      <c r="E454" s="10">
        <v>16912</v>
      </c>
      <c r="F454" s="10">
        <v>7037.8739999999998</v>
      </c>
      <c r="G454" s="99"/>
      <c r="H454" s="122"/>
      <c r="I454" s="122"/>
      <c r="J454" s="122"/>
      <c r="K454" s="122"/>
      <c r="L454" s="122"/>
      <c r="M454" s="122"/>
    </row>
    <row r="455" spans="1:13" x14ac:dyDescent="0.25">
      <c r="A455" t="s">
        <v>248</v>
      </c>
      <c r="B455" s="96">
        <v>44466</v>
      </c>
      <c r="C455" s="10">
        <v>8827.2400000000016</v>
      </c>
      <c r="D455" s="10">
        <v>9629.1318999999985</v>
      </c>
      <c r="E455" s="10">
        <v>17261</v>
      </c>
      <c r="F455" s="10">
        <v>7116.2039999999997</v>
      </c>
      <c r="G455" s="99"/>
      <c r="H455" s="122"/>
      <c r="I455" s="122"/>
      <c r="J455" s="122"/>
      <c r="K455" s="122"/>
      <c r="L455" s="122"/>
      <c r="M455" s="122"/>
    </row>
    <row r="456" spans="1:13" x14ac:dyDescent="0.25">
      <c r="A456" t="s">
        <v>248</v>
      </c>
      <c r="B456" s="96">
        <v>44467</v>
      </c>
      <c r="C456" s="10">
        <v>8990.6856999999964</v>
      </c>
      <c r="D456" s="10">
        <v>9736.2440000000006</v>
      </c>
      <c r="E456" s="10">
        <v>17328</v>
      </c>
      <c r="F456" s="10">
        <v>7200.9449999999997</v>
      </c>
      <c r="G456" s="436"/>
      <c r="H456" s="437"/>
      <c r="I456" s="437"/>
      <c r="J456" s="437"/>
      <c r="K456" s="437"/>
      <c r="L456" s="437"/>
      <c r="M456" s="437"/>
    </row>
    <row r="457" spans="1:13" x14ac:dyDescent="0.25">
      <c r="A457" t="s">
        <v>248</v>
      </c>
      <c r="B457" s="96">
        <v>44468</v>
      </c>
      <c r="C457" s="10">
        <v>9248.0914999999986</v>
      </c>
      <c r="D457" s="10">
        <v>9845.1530000000002</v>
      </c>
      <c r="E457" s="10">
        <v>17209</v>
      </c>
      <c r="F457" s="10">
        <v>7262.6379999999999</v>
      </c>
      <c r="G457" s="99"/>
      <c r="H457" s="122"/>
      <c r="I457" s="122"/>
      <c r="J457" s="122"/>
      <c r="K457" s="122"/>
      <c r="L457" s="122"/>
      <c r="M457" s="122"/>
    </row>
    <row r="458" spans="1:13" x14ac:dyDescent="0.25">
      <c r="A458" t="s">
        <v>248</v>
      </c>
      <c r="B458" s="96">
        <v>44469</v>
      </c>
      <c r="C458" s="10">
        <v>9062.6586000000007</v>
      </c>
      <c r="D458" s="10">
        <v>9759.1669999999995</v>
      </c>
      <c r="E458" s="10">
        <v>16673</v>
      </c>
      <c r="F458" s="10">
        <v>7169.3230000000003</v>
      </c>
      <c r="G458" s="99"/>
      <c r="H458" s="122"/>
      <c r="I458" s="122"/>
      <c r="J458" s="122"/>
      <c r="K458" s="122"/>
      <c r="L458" s="122"/>
      <c r="M458" s="122"/>
    </row>
    <row r="459" spans="1:13" x14ac:dyDescent="0.25">
      <c r="A459" t="s">
        <v>249</v>
      </c>
      <c r="B459" s="96">
        <v>44470</v>
      </c>
      <c r="C459" s="10">
        <v>9046.9758000000002</v>
      </c>
      <c r="D459" s="10">
        <v>9824.5909999999985</v>
      </c>
      <c r="E459" s="10">
        <v>16649</v>
      </c>
      <c r="F459" s="10">
        <v>7093.2420000000002</v>
      </c>
      <c r="G459" s="99"/>
      <c r="H459" s="122"/>
      <c r="I459" s="122"/>
      <c r="J459" s="122"/>
      <c r="K459" s="122"/>
      <c r="L459" s="122"/>
      <c r="M459" s="122"/>
    </row>
    <row r="460" spans="1:13" x14ac:dyDescent="0.25">
      <c r="A460" t="s">
        <v>249</v>
      </c>
      <c r="B460" s="96">
        <v>44473</v>
      </c>
      <c r="C460" s="10">
        <v>9424.2011999999995</v>
      </c>
      <c r="D460" s="10">
        <v>9485.8355000000029</v>
      </c>
      <c r="E460" s="10">
        <v>16849.642199999998</v>
      </c>
      <c r="F460" s="10">
        <v>7011.4269999999997</v>
      </c>
      <c r="G460" s="436"/>
      <c r="H460" s="437"/>
      <c r="I460" s="437"/>
      <c r="J460" s="437"/>
      <c r="K460" s="437"/>
      <c r="L460" s="437"/>
      <c r="M460" s="437"/>
    </row>
    <row r="461" spans="1:13" x14ac:dyDescent="0.25">
      <c r="A461" t="s">
        <v>249</v>
      </c>
      <c r="B461" s="96">
        <v>44474</v>
      </c>
      <c r="C461" s="10">
        <v>9541.5373</v>
      </c>
      <c r="D461" s="10">
        <v>9709.1034999999993</v>
      </c>
      <c r="E461" s="10">
        <v>16941.685400000002</v>
      </c>
      <c r="F461" s="10">
        <v>7161.5280000000002</v>
      </c>
      <c r="G461" s="436"/>
      <c r="H461" s="437"/>
      <c r="I461" s="437"/>
      <c r="J461" s="437"/>
      <c r="K461" s="437"/>
      <c r="L461" s="437"/>
      <c r="M461" s="437"/>
    </row>
    <row r="462" spans="1:13" x14ac:dyDescent="0.25">
      <c r="A462" t="s">
        <v>249</v>
      </c>
      <c r="B462" s="96">
        <v>44475</v>
      </c>
      <c r="C462" s="10">
        <v>9688.9485999999997</v>
      </c>
      <c r="D462" s="10">
        <v>9764.5695000000032</v>
      </c>
      <c r="E462" s="10">
        <v>16497.113099999999</v>
      </c>
      <c r="F462" s="10">
        <v>7203.2860000000001</v>
      </c>
      <c r="G462" s="436"/>
      <c r="H462" s="437"/>
      <c r="I462" s="437"/>
      <c r="J462" s="437"/>
      <c r="K462" s="437"/>
      <c r="L462" s="437"/>
      <c r="M462" s="437"/>
    </row>
    <row r="463" spans="1:13" x14ac:dyDescent="0.25">
      <c r="A463" t="s">
        <v>249</v>
      </c>
      <c r="B463" s="96">
        <v>44476</v>
      </c>
      <c r="C463" s="10">
        <v>9579.9735999999975</v>
      </c>
      <c r="D463" s="10">
        <v>9825.3414999999986</v>
      </c>
      <c r="E463" s="10">
        <v>16425.5877</v>
      </c>
      <c r="F463" s="10">
        <v>7003.5339999999997</v>
      </c>
      <c r="G463" s="436"/>
      <c r="H463" s="437"/>
      <c r="I463" s="437"/>
      <c r="J463" s="437"/>
      <c r="K463" s="437"/>
      <c r="L463" s="437"/>
      <c r="M463" s="437"/>
    </row>
    <row r="464" spans="1:13" x14ac:dyDescent="0.25">
      <c r="A464" t="s">
        <v>249</v>
      </c>
      <c r="B464" s="96">
        <v>44477</v>
      </c>
      <c r="C464" s="10">
        <v>9568.2486000000008</v>
      </c>
      <c r="D464" s="10">
        <v>9916.5704999999998</v>
      </c>
      <c r="E464" s="10">
        <v>16660.641000000003</v>
      </c>
      <c r="F464" s="10">
        <v>7010.52</v>
      </c>
      <c r="G464" s="436"/>
      <c r="H464" s="437"/>
      <c r="I464" s="437"/>
      <c r="J464" s="437"/>
      <c r="K464" s="437"/>
      <c r="L464" s="437"/>
      <c r="M464" s="437"/>
    </row>
    <row r="465" spans="1:13" x14ac:dyDescent="0.25">
      <c r="A465" t="s">
        <v>249</v>
      </c>
      <c r="B465" s="96">
        <v>44480</v>
      </c>
      <c r="C465" s="10">
        <v>9697.0951999999997</v>
      </c>
      <c r="D465" s="10">
        <v>9444.5737999999983</v>
      </c>
      <c r="E465" s="10">
        <v>16603.7163</v>
      </c>
      <c r="F465" s="10">
        <v>7141.576</v>
      </c>
      <c r="G465" s="436"/>
      <c r="H465" s="437"/>
      <c r="I465" s="437"/>
      <c r="J465" s="437"/>
      <c r="K465" s="437"/>
      <c r="L465" s="437"/>
      <c r="M465" s="437"/>
    </row>
    <row r="466" spans="1:13" x14ac:dyDescent="0.25">
      <c r="A466" t="s">
        <v>249</v>
      </c>
      <c r="B466" s="96">
        <v>44481</v>
      </c>
      <c r="C466" s="10">
        <v>9608.7691999999988</v>
      </c>
      <c r="D466" s="10">
        <v>9627.3197999999993</v>
      </c>
      <c r="E466" s="10">
        <v>16915.2755</v>
      </c>
      <c r="F466" s="10">
        <v>7322.5020000000004</v>
      </c>
      <c r="G466" s="436"/>
      <c r="H466" s="437"/>
      <c r="I466" s="437"/>
      <c r="J466" s="437"/>
      <c r="K466" s="437"/>
      <c r="L466" s="437"/>
      <c r="M466" s="437"/>
    </row>
    <row r="467" spans="1:13" x14ac:dyDescent="0.25">
      <c r="A467" t="s">
        <v>249</v>
      </c>
      <c r="B467" s="96">
        <v>44482</v>
      </c>
      <c r="C467" s="10">
        <v>9564.7517000000007</v>
      </c>
      <c r="D467" s="10">
        <v>9695.6987999999965</v>
      </c>
      <c r="E467" s="10">
        <v>16844.626900000003</v>
      </c>
      <c r="F467" s="10">
        <v>7039.0210000000006</v>
      </c>
      <c r="G467" s="436"/>
      <c r="H467" s="437"/>
      <c r="I467" s="437"/>
      <c r="J467" s="437"/>
      <c r="K467" s="437"/>
      <c r="L467" s="437"/>
      <c r="M467" s="437"/>
    </row>
    <row r="468" spans="1:13" x14ac:dyDescent="0.25">
      <c r="A468" t="s">
        <v>249</v>
      </c>
      <c r="B468" s="96">
        <v>44483</v>
      </c>
      <c r="C468" s="10">
        <v>9695.6051000000007</v>
      </c>
      <c r="D468" s="10">
        <v>9723.8907999999992</v>
      </c>
      <c r="E468" s="10">
        <v>16767.397200000003</v>
      </c>
      <c r="F468" s="10">
        <v>7253.9110000000001</v>
      </c>
      <c r="G468" s="436"/>
      <c r="H468" s="437"/>
      <c r="I468" s="437"/>
      <c r="J468" s="437"/>
      <c r="K468" s="437"/>
      <c r="L468" s="437"/>
      <c r="M468" s="437"/>
    </row>
    <row r="469" spans="1:13" x14ac:dyDescent="0.25">
      <c r="A469" t="s">
        <v>249</v>
      </c>
      <c r="B469" s="96">
        <v>44484</v>
      </c>
      <c r="C469" s="10">
        <v>9773.1939999999995</v>
      </c>
      <c r="D469" s="10">
        <v>9858.7366999999995</v>
      </c>
      <c r="E469" s="10">
        <v>16856.621900000006</v>
      </c>
      <c r="F469" s="10">
        <v>7112.7579999999998</v>
      </c>
      <c r="G469" s="436"/>
      <c r="H469" s="437"/>
      <c r="I469" s="437"/>
      <c r="J469" s="437"/>
      <c r="K469" s="437"/>
      <c r="L469" s="437"/>
      <c r="M469" s="437"/>
    </row>
    <row r="470" spans="1:13" x14ac:dyDescent="0.25">
      <c r="A470" t="s">
        <v>249</v>
      </c>
      <c r="B470" s="96">
        <v>44487</v>
      </c>
      <c r="C470" s="10">
        <v>9805.2453999999998</v>
      </c>
      <c r="D470" s="10">
        <v>9786.424799999997</v>
      </c>
      <c r="E470" s="10">
        <v>16512.965</v>
      </c>
      <c r="F470" s="10">
        <v>6822.6379999999999</v>
      </c>
      <c r="G470" s="436"/>
      <c r="H470" s="437"/>
      <c r="I470" s="437"/>
      <c r="J470" s="437"/>
      <c r="K470" s="437"/>
      <c r="L470" s="437"/>
      <c r="M470" s="437"/>
    </row>
    <row r="471" spans="1:13" x14ac:dyDescent="0.25">
      <c r="A471" t="s">
        <v>249</v>
      </c>
      <c r="B471" s="96">
        <v>44490</v>
      </c>
      <c r="C471" s="10">
        <v>9122.8968000000023</v>
      </c>
      <c r="D471" s="10">
        <v>9801.8858000000037</v>
      </c>
      <c r="E471" s="10">
        <v>15690.5911</v>
      </c>
      <c r="F471" s="10">
        <v>7010.99</v>
      </c>
      <c r="G471" s="436"/>
      <c r="H471" s="437"/>
      <c r="I471" s="437"/>
      <c r="J471" s="437"/>
      <c r="K471" s="437"/>
      <c r="L471" s="437"/>
      <c r="M471" s="437"/>
    </row>
    <row r="472" spans="1:13" x14ac:dyDescent="0.25">
      <c r="A472" t="s">
        <v>249</v>
      </c>
      <c r="B472" s="96">
        <v>44491</v>
      </c>
      <c r="C472" s="10">
        <v>9065.0427000000036</v>
      </c>
      <c r="D472" s="10">
        <v>10056.6438</v>
      </c>
      <c r="E472" s="10">
        <v>15960.494700000003</v>
      </c>
      <c r="F472" s="10">
        <v>7186.0730000000003</v>
      </c>
      <c r="G472" s="99"/>
      <c r="H472" s="122"/>
      <c r="I472" s="122"/>
      <c r="J472" s="122"/>
      <c r="K472" s="122"/>
      <c r="L472" s="122"/>
      <c r="M472" s="122"/>
    </row>
    <row r="473" spans="1:13" x14ac:dyDescent="0.25">
      <c r="A473" t="s">
        <v>249</v>
      </c>
      <c r="B473" s="96">
        <v>44494</v>
      </c>
      <c r="C473" s="10">
        <v>9218.5569000000032</v>
      </c>
      <c r="D473" s="10">
        <v>9870.130799999999</v>
      </c>
      <c r="E473" s="10">
        <v>16469.441200000005</v>
      </c>
      <c r="F473" s="10">
        <v>6832.8580000000002</v>
      </c>
      <c r="G473" s="436"/>
      <c r="H473" s="437"/>
      <c r="I473" s="437"/>
      <c r="J473" s="437"/>
      <c r="K473" s="437"/>
      <c r="L473" s="437"/>
      <c r="M473" s="437"/>
    </row>
    <row r="474" spans="1:13" x14ac:dyDescent="0.25">
      <c r="A474" t="s">
        <v>249</v>
      </c>
      <c r="B474" s="96">
        <v>44495</v>
      </c>
      <c r="C474" s="10">
        <v>9312.6503000000012</v>
      </c>
      <c r="D474" s="10">
        <v>10181.495299999999</v>
      </c>
      <c r="E474" s="10">
        <v>16808.358199999999</v>
      </c>
      <c r="F474" s="10">
        <v>6993.43</v>
      </c>
      <c r="G474" s="436"/>
      <c r="H474" s="437"/>
      <c r="I474" s="437"/>
      <c r="J474" s="437"/>
      <c r="K474" s="437"/>
      <c r="L474" s="437"/>
      <c r="M474" s="437"/>
    </row>
    <row r="475" spans="1:13" x14ac:dyDescent="0.25">
      <c r="A475" t="s">
        <v>249</v>
      </c>
      <c r="B475" s="96">
        <v>44496</v>
      </c>
      <c r="C475" s="10">
        <v>9351.6144999999997</v>
      </c>
      <c r="D475" s="10">
        <v>10197.408299999999</v>
      </c>
      <c r="E475" s="10">
        <v>15515.129700000001</v>
      </c>
      <c r="F475" s="10">
        <v>7030.3180000000002</v>
      </c>
      <c r="G475" s="436"/>
      <c r="H475" s="437"/>
      <c r="I475" s="437"/>
      <c r="J475" s="437"/>
      <c r="K475" s="437"/>
      <c r="L475" s="437"/>
      <c r="M475" s="437"/>
    </row>
    <row r="476" spans="1:13" x14ac:dyDescent="0.25">
      <c r="A476" t="s">
        <v>249</v>
      </c>
      <c r="B476" s="96">
        <v>44497</v>
      </c>
      <c r="C476" s="10">
        <v>9268.9375999999993</v>
      </c>
      <c r="D476" s="10">
        <v>10188.085300000001</v>
      </c>
      <c r="E476" s="10">
        <v>15506.822700000002</v>
      </c>
      <c r="F476" s="10">
        <v>6979.835</v>
      </c>
      <c r="G476" s="436"/>
      <c r="H476" s="437"/>
      <c r="I476" s="437"/>
      <c r="J476" s="437"/>
      <c r="K476" s="437"/>
      <c r="L476" s="437"/>
      <c r="M476" s="437"/>
    </row>
    <row r="477" spans="1:13" x14ac:dyDescent="0.25">
      <c r="A477" t="s">
        <v>249</v>
      </c>
      <c r="B477" s="96">
        <v>44498</v>
      </c>
      <c r="C477" s="10">
        <v>9093.6978999999974</v>
      </c>
      <c r="D477" s="10">
        <v>10037.381299999999</v>
      </c>
      <c r="E477" s="10">
        <v>15439.306399999999</v>
      </c>
      <c r="F477" s="10">
        <v>7028.8620000000001</v>
      </c>
      <c r="G477" s="436"/>
      <c r="H477" s="437"/>
      <c r="I477" s="437"/>
      <c r="J477" s="437"/>
      <c r="K477" s="437"/>
      <c r="L477" s="437"/>
      <c r="M477" s="437"/>
    </row>
    <row r="478" spans="1:13" x14ac:dyDescent="0.25">
      <c r="A478" t="s">
        <v>250</v>
      </c>
      <c r="B478" s="96">
        <v>44501</v>
      </c>
      <c r="C478" s="10">
        <v>8912.2428</v>
      </c>
      <c r="D478" s="10">
        <v>9509.0512999999992</v>
      </c>
      <c r="E478" s="10">
        <v>15282.947999999997</v>
      </c>
      <c r="F478" s="10">
        <v>6731.15</v>
      </c>
      <c r="G478" s="436"/>
      <c r="H478" s="437"/>
      <c r="I478" s="437"/>
      <c r="J478" s="437"/>
      <c r="K478" s="437"/>
      <c r="L478" s="437"/>
      <c r="M478" s="437"/>
    </row>
    <row r="479" spans="1:13" x14ac:dyDescent="0.25">
      <c r="A479" t="s">
        <v>250</v>
      </c>
      <c r="B479" s="96">
        <v>44502</v>
      </c>
      <c r="C479" s="10">
        <v>8929.3925999999992</v>
      </c>
      <c r="D479" s="10">
        <v>9598.8153000000002</v>
      </c>
      <c r="E479" s="10">
        <v>15661.5538</v>
      </c>
      <c r="F479" s="10">
        <v>6847.5060000000003</v>
      </c>
      <c r="G479" s="436"/>
      <c r="H479" s="437"/>
      <c r="I479" s="437"/>
      <c r="J479" s="437"/>
      <c r="K479" s="437"/>
      <c r="L479" s="437"/>
      <c r="M479" s="437"/>
    </row>
    <row r="480" spans="1:13" x14ac:dyDescent="0.25">
      <c r="A480" t="s">
        <v>250</v>
      </c>
      <c r="B480" s="96">
        <v>44503</v>
      </c>
      <c r="C480" s="10">
        <v>9021.953300000001</v>
      </c>
      <c r="D480" s="10">
        <v>9691.1602999999959</v>
      </c>
      <c r="E480" s="10">
        <v>15197.556600000004</v>
      </c>
      <c r="F480" s="10">
        <v>6896.1589999999997</v>
      </c>
      <c r="G480" s="436"/>
      <c r="H480" s="437"/>
      <c r="I480" s="437"/>
      <c r="J480" s="437"/>
      <c r="K480" s="437"/>
      <c r="L480" s="437"/>
      <c r="M480" s="437"/>
    </row>
    <row r="481" spans="1:13" x14ac:dyDescent="0.25">
      <c r="A481" t="s">
        <v>250</v>
      </c>
      <c r="B481" s="96">
        <v>44504</v>
      </c>
      <c r="C481" s="10">
        <v>8994.3538000000008</v>
      </c>
      <c r="D481" s="10">
        <v>9697.0401999999976</v>
      </c>
      <c r="E481" s="10">
        <v>15197.2862</v>
      </c>
      <c r="F481" s="10">
        <v>6729.1970000000001</v>
      </c>
      <c r="G481" s="436"/>
      <c r="H481" s="437"/>
      <c r="I481" s="437"/>
      <c r="J481" s="437"/>
      <c r="K481" s="437"/>
      <c r="L481" s="437"/>
      <c r="M481" s="437"/>
    </row>
    <row r="482" spans="1:13" x14ac:dyDescent="0.25">
      <c r="A482" t="s">
        <v>250</v>
      </c>
      <c r="B482" s="96">
        <v>44505</v>
      </c>
      <c r="C482" s="10">
        <v>9098.5410999999986</v>
      </c>
      <c r="D482" s="10">
        <v>9777.5922999999984</v>
      </c>
      <c r="E482" s="10">
        <v>14931.281200000003</v>
      </c>
      <c r="F482" s="10">
        <v>6811.558</v>
      </c>
      <c r="G482" s="436"/>
      <c r="H482" s="437"/>
      <c r="I482" s="437"/>
      <c r="J482" s="437"/>
      <c r="K482" s="437"/>
      <c r="L482" s="437"/>
      <c r="M482" s="437"/>
    </row>
    <row r="483" spans="1:13" x14ac:dyDescent="0.25">
      <c r="A483" t="s">
        <v>250</v>
      </c>
      <c r="B483" s="96">
        <v>44508</v>
      </c>
      <c r="C483" s="10">
        <v>9129.155700000003</v>
      </c>
      <c r="D483" s="10">
        <v>9889.5473000000002</v>
      </c>
      <c r="E483" s="10">
        <v>14761.293300000001</v>
      </c>
      <c r="F483" s="10">
        <v>6660.737000000001</v>
      </c>
      <c r="G483" s="436"/>
      <c r="H483" s="437"/>
      <c r="I483" s="437"/>
      <c r="J483" s="437"/>
      <c r="K483" s="437"/>
      <c r="L483" s="437"/>
      <c r="M483" s="437"/>
    </row>
    <row r="484" spans="1:13" x14ac:dyDescent="0.25">
      <c r="A484" t="s">
        <v>250</v>
      </c>
      <c r="B484" s="96">
        <v>44509</v>
      </c>
      <c r="C484" s="10">
        <v>9165.1798999999992</v>
      </c>
      <c r="D484" s="10">
        <v>10282.681299999998</v>
      </c>
      <c r="E484" s="10">
        <v>14892.775100000001</v>
      </c>
      <c r="F484" s="10">
        <v>7165.4770000000008</v>
      </c>
      <c r="G484" s="436"/>
      <c r="H484" s="437"/>
      <c r="I484" s="437"/>
      <c r="J484" s="437"/>
      <c r="K484" s="437"/>
      <c r="L484" s="437"/>
      <c r="M484" s="437"/>
    </row>
    <row r="485" spans="1:13" x14ac:dyDescent="0.25">
      <c r="A485" t="s">
        <v>250</v>
      </c>
      <c r="B485" s="96">
        <v>44510</v>
      </c>
      <c r="C485" s="10">
        <v>9460.6165000000019</v>
      </c>
      <c r="D485" s="10">
        <v>10305.285299999996</v>
      </c>
      <c r="E485" s="10">
        <v>15099.326099999995</v>
      </c>
      <c r="F485" s="10">
        <v>7053.6020000000008</v>
      </c>
      <c r="G485" s="436"/>
      <c r="H485" s="437"/>
      <c r="I485" s="437"/>
      <c r="J485" s="437"/>
      <c r="K485" s="437"/>
      <c r="L485" s="437"/>
      <c r="M485" s="437"/>
    </row>
    <row r="486" spans="1:13" x14ac:dyDescent="0.25">
      <c r="A486" t="s">
        <v>250</v>
      </c>
      <c r="B486" s="96">
        <v>44511</v>
      </c>
      <c r="C486" s="10">
        <v>9591.5951999999997</v>
      </c>
      <c r="D486" s="10">
        <v>10574.214300000001</v>
      </c>
      <c r="E486" s="10">
        <v>15217.923600000002</v>
      </c>
      <c r="F486" s="10">
        <v>7217.6470000000008</v>
      </c>
      <c r="G486" s="436"/>
      <c r="H486" s="437"/>
      <c r="I486" s="437"/>
      <c r="J486" s="437"/>
      <c r="K486" s="437"/>
      <c r="L486" s="437"/>
      <c r="M486" s="437"/>
    </row>
    <row r="487" spans="1:13" x14ac:dyDescent="0.25">
      <c r="A487" t="s">
        <v>250</v>
      </c>
      <c r="B487" s="96">
        <v>44512</v>
      </c>
      <c r="C487" s="10">
        <v>9251.034599999999</v>
      </c>
      <c r="D487" s="10">
        <v>10539.783699999998</v>
      </c>
      <c r="E487" s="10">
        <v>14770.896400000005</v>
      </c>
      <c r="F487" s="10">
        <v>7281.5429999999997</v>
      </c>
      <c r="G487" s="436"/>
      <c r="H487" s="437"/>
      <c r="I487" s="437"/>
      <c r="J487" s="437"/>
      <c r="K487" s="437"/>
      <c r="L487" s="437"/>
      <c r="M487" s="437"/>
    </row>
    <row r="488" spans="1:13" x14ac:dyDescent="0.25">
      <c r="A488" t="s">
        <v>250</v>
      </c>
      <c r="B488" s="96">
        <v>44515</v>
      </c>
      <c r="C488" s="10">
        <v>8385.8095000000012</v>
      </c>
      <c r="D488" s="10">
        <v>10457.6762</v>
      </c>
      <c r="E488" s="10">
        <v>14371.07</v>
      </c>
      <c r="F488" s="10">
        <v>7362.0259999999998</v>
      </c>
      <c r="G488" s="436"/>
      <c r="H488" s="437"/>
      <c r="I488" s="437"/>
      <c r="J488" s="437"/>
      <c r="K488" s="437"/>
      <c r="L488" s="437"/>
      <c r="M488" s="437"/>
    </row>
    <row r="489" spans="1:13" x14ac:dyDescent="0.25">
      <c r="A489" t="s">
        <v>250</v>
      </c>
      <c r="B489" s="96">
        <v>44516</v>
      </c>
      <c r="C489" s="10">
        <v>8538.5973000000013</v>
      </c>
      <c r="D489" s="10">
        <v>10671.409299999999</v>
      </c>
      <c r="E489" s="10">
        <v>14740.158100000004</v>
      </c>
      <c r="F489" s="10">
        <v>7470.2219999999998</v>
      </c>
      <c r="G489" s="436"/>
      <c r="H489" s="437"/>
      <c r="I489" s="437"/>
      <c r="J489" s="437"/>
      <c r="K489" s="437"/>
      <c r="L489" s="437"/>
      <c r="M489" s="437"/>
    </row>
    <row r="490" spans="1:13" x14ac:dyDescent="0.25">
      <c r="A490" t="s">
        <v>250</v>
      </c>
      <c r="B490" s="96">
        <v>44517</v>
      </c>
      <c r="C490" s="10">
        <v>8637.6286</v>
      </c>
      <c r="D490" s="10">
        <v>10774.8223</v>
      </c>
      <c r="E490" s="10">
        <v>14574.009900000003</v>
      </c>
      <c r="F490" s="10">
        <v>7407.2849999999999</v>
      </c>
      <c r="G490" s="436"/>
      <c r="H490" s="437"/>
      <c r="I490" s="437"/>
      <c r="J490" s="437"/>
      <c r="K490" s="437"/>
      <c r="L490" s="437"/>
      <c r="M490" s="437"/>
    </row>
    <row r="491" spans="1:13" x14ac:dyDescent="0.25">
      <c r="A491" t="s">
        <v>250</v>
      </c>
      <c r="B491" s="96">
        <v>44519</v>
      </c>
      <c r="C491" s="10">
        <v>8623.615600000001</v>
      </c>
      <c r="D491" s="10">
        <v>10320.579299999999</v>
      </c>
      <c r="E491" s="10">
        <v>14693.731300000003</v>
      </c>
      <c r="F491" s="10">
        <v>7332.7039999999997</v>
      </c>
      <c r="G491" s="436"/>
      <c r="H491" s="437"/>
      <c r="I491" s="437"/>
      <c r="J491" s="437"/>
      <c r="K491" s="437"/>
      <c r="L491" s="437"/>
      <c r="M491" s="437"/>
    </row>
    <row r="492" spans="1:13" x14ac:dyDescent="0.25">
      <c r="A492" t="s">
        <v>250</v>
      </c>
      <c r="B492" s="96">
        <v>44522</v>
      </c>
      <c r="C492" s="10">
        <v>8572.9436000000005</v>
      </c>
      <c r="D492" s="10">
        <v>10166.924200000001</v>
      </c>
      <c r="E492" s="10">
        <v>14894.796699999999</v>
      </c>
      <c r="F492" s="10">
        <v>7421.4660000000003</v>
      </c>
      <c r="G492" s="436"/>
      <c r="H492" s="437"/>
      <c r="I492" s="437"/>
      <c r="J492" s="437"/>
      <c r="K492" s="437"/>
      <c r="L492" s="437"/>
      <c r="M492" s="437"/>
    </row>
    <row r="493" spans="1:13" x14ac:dyDescent="0.25">
      <c r="A493" t="s">
        <v>250</v>
      </c>
      <c r="B493" s="96">
        <v>44523</v>
      </c>
      <c r="C493" s="10">
        <v>8572.0573999999997</v>
      </c>
      <c r="D493" s="10">
        <v>10655.367299999998</v>
      </c>
      <c r="E493" s="10">
        <v>15660.161599999996</v>
      </c>
      <c r="F493" s="10">
        <v>7693.2470000000003</v>
      </c>
      <c r="G493" s="436"/>
      <c r="H493" s="437"/>
      <c r="I493" s="437"/>
      <c r="J493" s="437"/>
      <c r="K493" s="437"/>
      <c r="L493" s="437"/>
      <c r="M493" s="437"/>
    </row>
    <row r="494" spans="1:13" x14ac:dyDescent="0.25">
      <c r="A494" t="s">
        <v>250</v>
      </c>
      <c r="B494" s="96">
        <v>44524</v>
      </c>
      <c r="C494" s="10">
        <v>8722.0204999999969</v>
      </c>
      <c r="D494" s="10">
        <v>10642.2353</v>
      </c>
      <c r="E494" s="10">
        <v>15218.024400000002</v>
      </c>
      <c r="F494" s="10">
        <v>7430.6480000000001</v>
      </c>
      <c r="G494" s="436"/>
      <c r="H494" s="437"/>
      <c r="I494" s="437"/>
      <c r="J494" s="437"/>
      <c r="K494" s="437"/>
      <c r="L494" s="437"/>
      <c r="M494" s="437"/>
    </row>
    <row r="495" spans="1:13" x14ac:dyDescent="0.25">
      <c r="A495" t="s">
        <v>250</v>
      </c>
      <c r="B495" s="96">
        <v>44525</v>
      </c>
      <c r="C495" s="10">
        <v>8640.0218000000004</v>
      </c>
      <c r="D495" s="10">
        <v>10693.980300000001</v>
      </c>
      <c r="E495" s="10">
        <v>15414.515399999997</v>
      </c>
      <c r="F495" s="10">
        <v>7356.1769999999997</v>
      </c>
      <c r="G495" s="436"/>
      <c r="H495" s="437"/>
      <c r="I495" s="437"/>
      <c r="J495" s="437"/>
      <c r="K495" s="437"/>
      <c r="L495" s="437"/>
      <c r="M495" s="437"/>
    </row>
    <row r="496" spans="1:13" x14ac:dyDescent="0.25">
      <c r="A496" t="s">
        <v>250</v>
      </c>
      <c r="B496" s="96">
        <v>44526</v>
      </c>
      <c r="C496" s="10">
        <v>8543.3672000000006</v>
      </c>
      <c r="D496" s="10">
        <v>10614.3843</v>
      </c>
      <c r="E496" s="10">
        <v>15330.6836</v>
      </c>
      <c r="F496" s="10">
        <v>7173.826</v>
      </c>
      <c r="G496" s="436"/>
      <c r="H496" s="437"/>
      <c r="I496" s="437"/>
      <c r="J496" s="437"/>
      <c r="K496" s="437"/>
      <c r="L496" s="437"/>
      <c r="M496" s="437"/>
    </row>
    <row r="497" spans="1:13" x14ac:dyDescent="0.25">
      <c r="A497" t="s">
        <v>250</v>
      </c>
      <c r="B497" s="96">
        <v>44529</v>
      </c>
      <c r="C497" s="10">
        <v>8585.8556000000008</v>
      </c>
      <c r="D497" s="10">
        <v>10338.4483</v>
      </c>
      <c r="E497" s="10">
        <v>15048.139600000002</v>
      </c>
      <c r="F497" s="10">
        <v>6730.0990000000002</v>
      </c>
      <c r="G497" s="436"/>
      <c r="H497" s="437"/>
      <c r="I497" s="437"/>
      <c r="J497" s="437"/>
      <c r="K497" s="437"/>
      <c r="L497" s="437"/>
      <c r="M497" s="437"/>
    </row>
    <row r="498" spans="1:13" x14ac:dyDescent="0.25">
      <c r="A498" t="s">
        <v>250</v>
      </c>
      <c r="B498" s="96">
        <v>44530</v>
      </c>
      <c r="C498" s="10">
        <v>8391.0774000000001</v>
      </c>
      <c r="D498" s="10">
        <v>10463.316299999999</v>
      </c>
      <c r="E498" s="10">
        <v>15230.121599999999</v>
      </c>
      <c r="F498" s="10">
        <v>6838.3609999999999</v>
      </c>
      <c r="G498" s="436"/>
      <c r="H498" s="437"/>
      <c r="I498" s="437"/>
      <c r="J498" s="437"/>
      <c r="K498" s="437"/>
      <c r="L498" s="437"/>
      <c r="M498" s="437"/>
    </row>
    <row r="499" spans="1:13" x14ac:dyDescent="0.25">
      <c r="A499" t="s">
        <v>251</v>
      </c>
      <c r="B499" s="96">
        <v>44531</v>
      </c>
      <c r="C499" s="10">
        <v>8406.2412999999997</v>
      </c>
      <c r="D499" s="10">
        <v>10368.919299999998</v>
      </c>
      <c r="E499" s="10">
        <v>15100.8863</v>
      </c>
      <c r="F499" s="10">
        <v>6894.5659999999998</v>
      </c>
      <c r="G499" s="436"/>
      <c r="H499" s="437"/>
      <c r="I499" s="437"/>
      <c r="J499" s="437"/>
      <c r="K499" s="437"/>
      <c r="L499" s="437"/>
      <c r="M499" s="437"/>
    </row>
    <row r="500" spans="1:13" x14ac:dyDescent="0.25">
      <c r="A500" t="s">
        <v>251</v>
      </c>
      <c r="B500" s="96">
        <v>44532</v>
      </c>
      <c r="C500" s="10">
        <v>8160.0784000000012</v>
      </c>
      <c r="D500" s="10">
        <v>10181.612000000001</v>
      </c>
      <c r="E500" s="10">
        <v>14902.655599999998</v>
      </c>
      <c r="F500" s="10">
        <v>6980.7740000000003</v>
      </c>
      <c r="G500" s="436"/>
      <c r="H500" s="437"/>
      <c r="I500" s="437"/>
      <c r="J500" s="437"/>
      <c r="K500" s="437"/>
      <c r="L500" s="437"/>
      <c r="M500" s="437"/>
    </row>
    <row r="501" spans="1:13" x14ac:dyDescent="0.25">
      <c r="A501" t="s">
        <v>251</v>
      </c>
      <c r="B501" s="96">
        <v>44533</v>
      </c>
      <c r="C501" s="10">
        <v>8286.019199999997</v>
      </c>
      <c r="D501" s="10">
        <v>10169.314</v>
      </c>
      <c r="E501" s="10">
        <v>15202.460500000001</v>
      </c>
      <c r="F501" s="10">
        <v>6912.2070000000003</v>
      </c>
      <c r="G501" s="436"/>
      <c r="H501" s="437"/>
      <c r="I501" s="437"/>
      <c r="J501" s="437"/>
      <c r="K501" s="437"/>
      <c r="L501" s="437"/>
      <c r="M501" s="437"/>
    </row>
    <row r="502" spans="1:13" x14ac:dyDescent="0.25">
      <c r="A502" t="s">
        <v>251</v>
      </c>
      <c r="B502" s="96">
        <v>44536</v>
      </c>
      <c r="C502" s="10">
        <v>8159.8672999999981</v>
      </c>
      <c r="D502" s="10">
        <v>9720.8639999999978</v>
      </c>
      <c r="E502" s="10">
        <v>15033.326200000001</v>
      </c>
      <c r="F502" s="10">
        <v>6286.1170000000002</v>
      </c>
      <c r="G502" s="436"/>
      <c r="H502" s="437"/>
      <c r="I502" s="437"/>
      <c r="J502" s="437"/>
      <c r="K502" s="437"/>
      <c r="L502" s="437"/>
      <c r="M502" s="437"/>
    </row>
    <row r="503" spans="1:13" x14ac:dyDescent="0.25">
      <c r="A503" t="s">
        <v>251</v>
      </c>
      <c r="B503" s="96">
        <v>44537</v>
      </c>
      <c r="C503" s="10">
        <v>8344.269199999997</v>
      </c>
      <c r="D503" s="10">
        <v>9862.2469999999976</v>
      </c>
      <c r="E503" s="10">
        <v>15362.322200000001</v>
      </c>
      <c r="F503" s="10">
        <v>6387.5929999999989</v>
      </c>
      <c r="G503" s="436"/>
      <c r="H503" s="437"/>
      <c r="I503" s="437"/>
      <c r="J503" s="437"/>
      <c r="K503" s="437"/>
      <c r="L503" s="437"/>
      <c r="M503" s="437"/>
    </row>
    <row r="504" spans="1:13" x14ac:dyDescent="0.25">
      <c r="A504" t="s">
        <v>251</v>
      </c>
      <c r="B504" s="96">
        <v>44538</v>
      </c>
      <c r="C504" s="10">
        <v>8375.9607999999989</v>
      </c>
      <c r="D504" s="10">
        <v>9910.6449999999986</v>
      </c>
      <c r="E504" s="10">
        <v>15352.7389</v>
      </c>
      <c r="F504" s="10">
        <v>6456.5640000000003</v>
      </c>
      <c r="G504" s="436"/>
      <c r="H504" s="437"/>
      <c r="I504" s="437"/>
      <c r="J504" s="437"/>
      <c r="K504" s="437"/>
      <c r="L504" s="437"/>
      <c r="M504" s="437"/>
    </row>
    <row r="505" spans="1:13" x14ac:dyDescent="0.25">
      <c r="A505" t="s">
        <v>251</v>
      </c>
      <c r="B505" s="96">
        <v>44539</v>
      </c>
      <c r="C505" s="10">
        <v>8454.1358</v>
      </c>
      <c r="D505" s="10">
        <v>9975.6139999999996</v>
      </c>
      <c r="E505" s="10">
        <v>15603.951200000001</v>
      </c>
      <c r="F505" s="10">
        <v>7076.7389999999996</v>
      </c>
      <c r="G505" s="436"/>
      <c r="H505" s="437"/>
      <c r="I505" s="437"/>
      <c r="J505" s="437"/>
      <c r="K505" s="437"/>
      <c r="L505" s="437"/>
      <c r="M505" s="437"/>
    </row>
    <row r="506" spans="1:13" x14ac:dyDescent="0.25">
      <c r="A506" t="s">
        <v>251</v>
      </c>
      <c r="B506" s="96">
        <v>44540</v>
      </c>
      <c r="C506" s="10">
        <v>8360.0955999999987</v>
      </c>
      <c r="D506" s="10">
        <v>10011.626899999999</v>
      </c>
      <c r="E506" s="10">
        <v>15641.294000000002</v>
      </c>
      <c r="F506" s="10">
        <v>7180.6229999999996</v>
      </c>
      <c r="G506" s="436"/>
      <c r="H506" s="437"/>
      <c r="I506" s="437"/>
      <c r="J506" s="437"/>
      <c r="K506" s="437"/>
      <c r="L506" s="437"/>
      <c r="M506" s="437"/>
    </row>
    <row r="507" spans="1:13" x14ac:dyDescent="0.25">
      <c r="A507" t="s">
        <v>251</v>
      </c>
      <c r="B507" s="96">
        <v>44543</v>
      </c>
      <c r="C507" s="10">
        <v>7732.7804999999989</v>
      </c>
      <c r="D507" s="10">
        <v>10032.854499999999</v>
      </c>
      <c r="E507" s="10">
        <v>15224.412200000001</v>
      </c>
      <c r="F507" s="10">
        <v>7194.1170000000002</v>
      </c>
      <c r="G507" s="436"/>
      <c r="H507" s="437"/>
      <c r="I507" s="437"/>
      <c r="J507" s="437"/>
      <c r="K507" s="437"/>
      <c r="L507" s="437"/>
      <c r="M507" s="437"/>
    </row>
    <row r="508" spans="1:13" x14ac:dyDescent="0.25">
      <c r="A508" t="s">
        <v>251</v>
      </c>
      <c r="B508" s="96">
        <v>44544</v>
      </c>
      <c r="C508" s="10">
        <v>7794.9863000000005</v>
      </c>
      <c r="D508" s="10">
        <v>10248.719499999999</v>
      </c>
      <c r="E508" s="10">
        <v>15629.506899999998</v>
      </c>
      <c r="F508" s="10">
        <v>7147.7820000000002</v>
      </c>
      <c r="G508" s="436"/>
      <c r="H508" s="437"/>
      <c r="I508" s="437"/>
      <c r="J508" s="437"/>
      <c r="K508" s="437"/>
      <c r="L508" s="437"/>
      <c r="M508" s="437"/>
    </row>
    <row r="509" spans="1:13" x14ac:dyDescent="0.25">
      <c r="A509" t="s">
        <v>251</v>
      </c>
      <c r="B509" s="96">
        <v>44545</v>
      </c>
      <c r="C509" s="10">
        <v>7950.4897999999994</v>
      </c>
      <c r="D509" s="10">
        <v>10279.621999999999</v>
      </c>
      <c r="E509" s="10">
        <v>15596.161800000002</v>
      </c>
      <c r="F509" s="10">
        <v>7139.3720000000003</v>
      </c>
      <c r="G509" s="436"/>
      <c r="H509" s="437"/>
      <c r="I509" s="437"/>
      <c r="J509" s="437"/>
      <c r="K509" s="437"/>
      <c r="L509" s="437"/>
      <c r="M509" s="437"/>
    </row>
    <row r="510" spans="1:13" x14ac:dyDescent="0.25">
      <c r="A510" t="s">
        <v>251</v>
      </c>
      <c r="B510" s="96">
        <v>44546</v>
      </c>
      <c r="C510" s="10">
        <v>7801.651499999999</v>
      </c>
      <c r="D510" s="10">
        <v>10529.23</v>
      </c>
      <c r="E510" s="10">
        <v>15596.3349</v>
      </c>
      <c r="F510" s="10">
        <v>7108.8850000000002</v>
      </c>
      <c r="G510" s="436"/>
      <c r="H510" s="437"/>
      <c r="I510" s="437"/>
      <c r="J510" s="437"/>
      <c r="K510" s="437"/>
      <c r="L510" s="437"/>
      <c r="M510" s="437"/>
    </row>
    <row r="511" spans="1:13" x14ac:dyDescent="0.25">
      <c r="A511" t="s">
        <v>251</v>
      </c>
      <c r="B511" s="96">
        <v>44550</v>
      </c>
      <c r="C511" s="10">
        <v>7896.4277509999993</v>
      </c>
      <c r="D511" s="10">
        <v>10798.517899999999</v>
      </c>
      <c r="E511" s="10">
        <v>15258.7227</v>
      </c>
      <c r="F511" s="10">
        <v>7267.7690000000002</v>
      </c>
      <c r="G511" s="436"/>
      <c r="H511" s="437"/>
      <c r="I511" s="437"/>
      <c r="J511" s="437"/>
      <c r="K511" s="437"/>
      <c r="L511" s="437"/>
      <c r="M511" s="437"/>
    </row>
    <row r="512" spans="1:13" x14ac:dyDescent="0.25">
      <c r="A512" t="s">
        <v>251</v>
      </c>
      <c r="B512" s="96">
        <v>44552</v>
      </c>
      <c r="C512" s="10">
        <v>7871.7101149999999</v>
      </c>
      <c r="D512" s="10">
        <v>11039.217000000001</v>
      </c>
      <c r="E512" s="10">
        <v>15592.575500000001</v>
      </c>
      <c r="F512" s="10">
        <v>7539.7209999999995</v>
      </c>
      <c r="G512" s="436"/>
      <c r="H512" s="437"/>
      <c r="I512" s="437"/>
      <c r="J512" s="437"/>
      <c r="K512" s="437"/>
      <c r="L512" s="437"/>
      <c r="M512" s="437"/>
    </row>
    <row r="513" spans="1:13" x14ac:dyDescent="0.25">
      <c r="A513" t="s">
        <v>251</v>
      </c>
      <c r="B513" s="96">
        <v>44553</v>
      </c>
      <c r="C513" s="10">
        <v>7951.9628149999999</v>
      </c>
      <c r="D513" s="10">
        <v>11071.359200000001</v>
      </c>
      <c r="E513" s="10">
        <v>15496.883100000001</v>
      </c>
      <c r="F513" s="10">
        <v>7577.2030000000004</v>
      </c>
      <c r="G513" s="436"/>
      <c r="H513" s="437"/>
      <c r="I513" s="437"/>
      <c r="J513" s="437"/>
      <c r="K513" s="437"/>
      <c r="L513" s="437"/>
      <c r="M513" s="437"/>
    </row>
    <row r="514" spans="1:13" x14ac:dyDescent="0.25">
      <c r="A514" t="s">
        <v>251</v>
      </c>
      <c r="B514" s="96">
        <v>44554</v>
      </c>
      <c r="C514" s="10">
        <v>8103.0651970000008</v>
      </c>
      <c r="D514" s="10">
        <v>11126.017199999998</v>
      </c>
      <c r="E514" s="10">
        <v>15780.193300000001</v>
      </c>
      <c r="F514" s="10">
        <v>7766.4239999999991</v>
      </c>
      <c r="G514" s="436"/>
      <c r="H514" s="437"/>
      <c r="I514" s="437"/>
      <c r="J514" s="437"/>
      <c r="K514" s="437"/>
      <c r="L514" s="437"/>
      <c r="M514" s="437"/>
    </row>
    <row r="515" spans="1:13" x14ac:dyDescent="0.25">
      <c r="A515" t="s">
        <v>251</v>
      </c>
      <c r="B515" s="96">
        <v>44558</v>
      </c>
      <c r="C515" s="10">
        <v>8469.375654999998</v>
      </c>
      <c r="D515" s="10">
        <v>11488.253999999999</v>
      </c>
      <c r="E515" s="10">
        <v>15780.193300000001</v>
      </c>
      <c r="F515" s="10">
        <v>7730.9210000000012</v>
      </c>
      <c r="G515" s="436"/>
      <c r="H515" s="437"/>
      <c r="I515" s="437"/>
      <c r="J515" s="437"/>
      <c r="K515" s="437"/>
      <c r="L515" s="437"/>
      <c r="M515" s="437"/>
    </row>
    <row r="516" spans="1:13" x14ac:dyDescent="0.25">
      <c r="A516" t="s">
        <v>251</v>
      </c>
      <c r="B516" s="96">
        <v>44559</v>
      </c>
      <c r="C516" s="10">
        <v>8374.9065869999995</v>
      </c>
      <c r="D516" s="10">
        <v>11420.797999999999</v>
      </c>
      <c r="E516" s="10">
        <v>15399.922000000002</v>
      </c>
      <c r="F516" s="10">
        <v>7759.9059999999999</v>
      </c>
      <c r="G516" s="436"/>
      <c r="H516" s="437"/>
      <c r="I516" s="437"/>
      <c r="J516" s="437"/>
      <c r="K516" s="437"/>
      <c r="L516" s="437"/>
      <c r="M516" s="437"/>
    </row>
    <row r="517" spans="1:13" x14ac:dyDescent="0.25">
      <c r="A517" t="s">
        <v>251</v>
      </c>
      <c r="B517" s="96">
        <v>44560</v>
      </c>
      <c r="C517" s="10">
        <v>7842.0735369999984</v>
      </c>
      <c r="D517" s="10">
        <v>11261.448099999998</v>
      </c>
      <c r="E517" s="10">
        <v>16034.396099999993</v>
      </c>
      <c r="F517" s="10">
        <v>7732.0750000000007</v>
      </c>
      <c r="G517" s="436"/>
      <c r="H517" s="437"/>
      <c r="I517" s="437"/>
      <c r="J517" s="437"/>
      <c r="K517" s="437"/>
      <c r="L517" s="437"/>
      <c r="M517" s="437"/>
    </row>
    <row r="518" spans="1:13" x14ac:dyDescent="0.25">
      <c r="A518" t="s">
        <v>251</v>
      </c>
      <c r="B518" s="96">
        <v>44561</v>
      </c>
      <c r="C518" s="10">
        <v>8126.2395120000001</v>
      </c>
      <c r="D518" s="10">
        <v>11209.596000000003</v>
      </c>
      <c r="E518" s="10">
        <v>16349.545</v>
      </c>
      <c r="F518" s="10">
        <v>7682.7180000000008</v>
      </c>
      <c r="G518" s="436"/>
      <c r="H518" s="437"/>
      <c r="I518" s="437"/>
      <c r="J518" s="437"/>
      <c r="K518" s="437"/>
      <c r="L518" s="437"/>
      <c r="M518" s="437"/>
    </row>
    <row r="519" spans="1:13" x14ac:dyDescent="0.25">
      <c r="A519" t="s">
        <v>252</v>
      </c>
      <c r="B519" s="96">
        <v>44564</v>
      </c>
      <c r="C519" s="10">
        <v>8107.0883120000008</v>
      </c>
      <c r="D519" s="10">
        <v>10898.891</v>
      </c>
      <c r="E519" s="10">
        <v>16375.586699999998</v>
      </c>
      <c r="F519" s="10">
        <v>7388.0519999999997</v>
      </c>
      <c r="G519" s="436"/>
      <c r="H519" s="437"/>
      <c r="I519" s="437"/>
      <c r="J519" s="437"/>
      <c r="K519" s="437"/>
      <c r="L519" s="437"/>
      <c r="M519" s="437"/>
    </row>
    <row r="520" spans="1:13" x14ac:dyDescent="0.25">
      <c r="A520" t="s">
        <v>252</v>
      </c>
      <c r="B520" s="96">
        <v>44565</v>
      </c>
      <c r="C520" s="10">
        <v>8154.8782119999987</v>
      </c>
      <c r="D520" s="10">
        <v>11149.672</v>
      </c>
      <c r="E520" s="10">
        <v>16812.486399999991</v>
      </c>
      <c r="F520" s="10">
        <v>7537.4279999999999</v>
      </c>
      <c r="G520" s="436"/>
      <c r="H520" s="437"/>
      <c r="I520" s="437"/>
      <c r="J520" s="437"/>
      <c r="K520" s="437"/>
      <c r="L520" s="437"/>
      <c r="M520" s="437"/>
    </row>
    <row r="521" spans="1:13" x14ac:dyDescent="0.25">
      <c r="A521" t="s">
        <v>252</v>
      </c>
      <c r="B521" s="96">
        <v>44566</v>
      </c>
      <c r="C521" s="10">
        <v>9129.0474119999963</v>
      </c>
      <c r="D521" s="10">
        <v>11245.362999999999</v>
      </c>
      <c r="E521" s="10">
        <v>16969.212600000003</v>
      </c>
      <c r="F521" s="10">
        <v>7805.4860000000008</v>
      </c>
      <c r="G521" s="436"/>
      <c r="H521" s="437"/>
      <c r="I521" s="437"/>
      <c r="J521" s="437"/>
      <c r="K521" s="437"/>
      <c r="L521" s="437"/>
      <c r="M521" s="437"/>
    </row>
    <row r="522" spans="1:13" x14ac:dyDescent="0.25">
      <c r="A522" t="s">
        <v>252</v>
      </c>
      <c r="B522" s="96">
        <v>44567</v>
      </c>
      <c r="C522" s="10">
        <v>7854.4760259999994</v>
      </c>
      <c r="D522" s="10">
        <v>11376.527999999998</v>
      </c>
      <c r="E522" s="10">
        <v>16673.104599999999</v>
      </c>
      <c r="F522" s="10">
        <v>7708.5050000000001</v>
      </c>
      <c r="G522" s="436"/>
      <c r="H522" s="437"/>
      <c r="I522" s="437"/>
      <c r="J522" s="437"/>
      <c r="K522" s="437"/>
      <c r="L522" s="437"/>
      <c r="M522" s="437"/>
    </row>
    <row r="523" spans="1:13" x14ac:dyDescent="0.25">
      <c r="A523" t="s">
        <v>252</v>
      </c>
      <c r="B523" s="96">
        <v>44568</v>
      </c>
      <c r="C523" s="10">
        <v>7287.394659999999</v>
      </c>
      <c r="D523" s="10">
        <v>11416.812900000003</v>
      </c>
      <c r="E523" s="10">
        <v>16569.891499999994</v>
      </c>
      <c r="F523" s="10">
        <v>7808.1189999999997</v>
      </c>
      <c r="G523" s="436"/>
      <c r="H523" s="437"/>
      <c r="I523" s="437"/>
      <c r="J523" s="437"/>
      <c r="K523" s="437"/>
      <c r="L523" s="437"/>
      <c r="M523" s="437"/>
    </row>
    <row r="524" spans="1:13" x14ac:dyDescent="0.25">
      <c r="A524" t="s">
        <v>252</v>
      </c>
      <c r="B524" s="96">
        <v>44571</v>
      </c>
      <c r="C524" s="10">
        <v>7472.4011660000015</v>
      </c>
      <c r="D524" s="10">
        <v>11486.291899999998</v>
      </c>
      <c r="E524" s="10">
        <v>15766.1446</v>
      </c>
      <c r="F524" s="10">
        <v>7661.1470000000008</v>
      </c>
      <c r="G524" s="436"/>
      <c r="H524" s="437"/>
      <c r="I524" s="437"/>
      <c r="J524" s="437"/>
      <c r="K524" s="437"/>
      <c r="L524" s="437"/>
      <c r="M524" s="437"/>
    </row>
    <row r="525" spans="1:13" x14ac:dyDescent="0.25">
      <c r="A525" t="s">
        <v>252</v>
      </c>
      <c r="B525" s="96">
        <v>44572</v>
      </c>
      <c r="C525" s="10">
        <v>7567.4049054000006</v>
      </c>
      <c r="D525" s="10">
        <v>11746.656900000002</v>
      </c>
      <c r="E525" s="10">
        <v>15845.441099999996</v>
      </c>
      <c r="F525" s="10">
        <v>7723.7350000000006</v>
      </c>
      <c r="G525" s="436"/>
      <c r="H525" s="437"/>
      <c r="I525" s="437"/>
      <c r="J525" s="437"/>
      <c r="K525" s="437"/>
      <c r="L525" s="437"/>
      <c r="M525" s="437"/>
    </row>
    <row r="526" spans="1:13" x14ac:dyDescent="0.25">
      <c r="A526" t="s">
        <v>252</v>
      </c>
      <c r="B526" s="96">
        <v>44573</v>
      </c>
      <c r="C526" s="10">
        <v>7652.1391370000001</v>
      </c>
      <c r="D526" s="10">
        <v>11678.7009</v>
      </c>
      <c r="E526" s="10">
        <v>15716.6168</v>
      </c>
      <c r="F526" s="10">
        <v>7687.8829999999998</v>
      </c>
      <c r="G526" s="436"/>
      <c r="H526" s="437"/>
      <c r="I526" s="437"/>
      <c r="J526" s="437"/>
      <c r="K526" s="437"/>
      <c r="L526" s="437"/>
      <c r="M526" s="437"/>
    </row>
    <row r="527" spans="1:13" x14ac:dyDescent="0.25">
      <c r="A527" t="s">
        <v>252</v>
      </c>
      <c r="B527" s="96">
        <v>44574</v>
      </c>
      <c r="C527" s="10">
        <v>7512.4650569999985</v>
      </c>
      <c r="D527" s="10">
        <v>11535.205900000001</v>
      </c>
      <c r="E527" s="10">
        <v>15773.380999999998</v>
      </c>
      <c r="F527" s="10">
        <v>7590.1630000000005</v>
      </c>
      <c r="G527" s="436"/>
      <c r="H527" s="437"/>
      <c r="I527" s="437"/>
      <c r="J527" s="437"/>
      <c r="K527" s="437"/>
      <c r="L527" s="437"/>
      <c r="M527" s="437"/>
    </row>
    <row r="528" spans="1:13" x14ac:dyDescent="0.25">
      <c r="A528" t="s">
        <v>252</v>
      </c>
      <c r="B528" s="96">
        <v>44578</v>
      </c>
      <c r="C528" s="10">
        <v>7605.8157480000009</v>
      </c>
      <c r="D528" s="10">
        <v>11135.673999999999</v>
      </c>
      <c r="E528" s="10">
        <v>15228.053499999998</v>
      </c>
      <c r="F528" s="10">
        <v>7346.8850000000002</v>
      </c>
      <c r="G528" s="436"/>
      <c r="H528" s="437"/>
      <c r="I528" s="437"/>
      <c r="J528" s="437"/>
      <c r="K528" s="437"/>
      <c r="L528" s="437"/>
      <c r="M528" s="437"/>
    </row>
    <row r="529" spans="1:13" x14ac:dyDescent="0.25">
      <c r="A529" t="s">
        <v>252</v>
      </c>
      <c r="B529" s="96">
        <v>44579</v>
      </c>
      <c r="C529" s="10">
        <v>7605.0477480000018</v>
      </c>
      <c r="D529" s="10">
        <v>11258.198999999999</v>
      </c>
      <c r="E529" s="10">
        <v>15306.1191</v>
      </c>
      <c r="F529" s="10">
        <v>8065.9849999999988</v>
      </c>
      <c r="G529" s="436"/>
      <c r="H529" s="437"/>
      <c r="I529" s="437"/>
      <c r="J529" s="437"/>
      <c r="K529" s="437"/>
      <c r="L529" s="437"/>
      <c r="M529" s="437"/>
    </row>
    <row r="530" spans="1:13" x14ac:dyDescent="0.25">
      <c r="A530" t="s">
        <v>252</v>
      </c>
      <c r="B530" s="96">
        <v>44580</v>
      </c>
      <c r="C530" s="10">
        <v>7726.6280740000002</v>
      </c>
      <c r="D530" s="10">
        <v>11623.648000000001</v>
      </c>
      <c r="E530" s="10">
        <v>15446.743999999999</v>
      </c>
      <c r="F530" s="10">
        <v>8281.9290000000001</v>
      </c>
      <c r="G530" s="436"/>
      <c r="H530" s="437"/>
      <c r="I530" s="437"/>
      <c r="J530" s="437"/>
      <c r="K530" s="437"/>
      <c r="L530" s="437"/>
      <c r="M530" s="437"/>
    </row>
    <row r="531" spans="1:13" x14ac:dyDescent="0.25">
      <c r="A531" t="s">
        <v>252</v>
      </c>
      <c r="B531" s="96">
        <v>44581</v>
      </c>
      <c r="C531" s="10">
        <v>8080.6117500000028</v>
      </c>
      <c r="D531" s="10">
        <v>11542.011</v>
      </c>
      <c r="E531" s="10">
        <v>15822.773500000003</v>
      </c>
      <c r="F531" s="10">
        <v>8426.2090000000007</v>
      </c>
      <c r="G531" s="436"/>
      <c r="H531" s="437"/>
      <c r="I531" s="437"/>
      <c r="J531" s="437"/>
      <c r="K531" s="437"/>
      <c r="L531" s="437"/>
      <c r="M531" s="437"/>
    </row>
    <row r="532" spans="1:13" x14ac:dyDescent="0.25">
      <c r="A532" t="s">
        <v>252</v>
      </c>
      <c r="B532" s="96">
        <v>44582</v>
      </c>
      <c r="C532" s="10">
        <v>8224.3386520000004</v>
      </c>
      <c r="D532" s="10">
        <v>11720.872999999998</v>
      </c>
      <c r="E532" s="10">
        <v>15957.226100000007</v>
      </c>
      <c r="F532" s="10">
        <v>8506.5239999999994</v>
      </c>
      <c r="G532" s="436"/>
      <c r="H532" s="437"/>
      <c r="I532" s="437"/>
      <c r="J532" s="437"/>
      <c r="K532" s="437"/>
      <c r="L532" s="437"/>
      <c r="M532" s="437"/>
    </row>
    <row r="533" spans="1:13" x14ac:dyDescent="0.25">
      <c r="A533" t="s">
        <v>252</v>
      </c>
      <c r="B533" s="96">
        <v>44585</v>
      </c>
      <c r="C533" s="10">
        <v>8414.350698000002</v>
      </c>
      <c r="D533" s="10">
        <v>11573.7029</v>
      </c>
      <c r="E533" s="10">
        <v>16010.008099999999</v>
      </c>
      <c r="F533" s="10">
        <v>8329.2790000000005</v>
      </c>
      <c r="G533" s="436"/>
      <c r="H533" s="437"/>
      <c r="I533" s="437"/>
      <c r="J533" s="437"/>
      <c r="K533" s="437"/>
      <c r="L533" s="437"/>
      <c r="M533" s="437"/>
    </row>
    <row r="534" spans="1:13" x14ac:dyDescent="0.25">
      <c r="A534" t="s">
        <v>252</v>
      </c>
      <c r="B534" s="96">
        <v>44586</v>
      </c>
      <c r="C534" s="10">
        <v>8396.9358979999997</v>
      </c>
      <c r="D534" s="10">
        <v>11820.688999999998</v>
      </c>
      <c r="E534" s="10">
        <v>16257.083799999999</v>
      </c>
      <c r="F534" s="10">
        <v>8483.1290000000008</v>
      </c>
      <c r="G534" s="436"/>
      <c r="H534" s="437"/>
      <c r="I534" s="437"/>
      <c r="J534" s="437"/>
      <c r="K534" s="437"/>
      <c r="L534" s="437"/>
      <c r="M534" s="437"/>
    </row>
    <row r="535" spans="1:13" x14ac:dyDescent="0.25">
      <c r="A535" t="s">
        <v>252</v>
      </c>
      <c r="B535" s="96">
        <v>44587</v>
      </c>
      <c r="C535" s="10">
        <v>8480.5159585000001</v>
      </c>
      <c r="D535" s="10">
        <v>11914.117999999999</v>
      </c>
      <c r="E535" s="10">
        <v>16063.326199999998</v>
      </c>
      <c r="F535" s="10">
        <v>8543.0450000000001</v>
      </c>
      <c r="G535" s="99"/>
      <c r="H535" s="437"/>
      <c r="I535" s="437"/>
      <c r="J535" s="122"/>
      <c r="K535" s="122"/>
      <c r="L535" s="122"/>
      <c r="M535" s="122"/>
    </row>
    <row r="536" spans="1:13" x14ac:dyDescent="0.25">
      <c r="A536" t="s">
        <v>252</v>
      </c>
      <c r="B536" s="96">
        <v>44588</v>
      </c>
      <c r="C536" s="10">
        <v>8444.3025379999999</v>
      </c>
      <c r="D536" s="10">
        <v>11958.913999999997</v>
      </c>
      <c r="E536" s="10">
        <v>16503.948099999998</v>
      </c>
      <c r="F536" s="10">
        <v>8580.7610000000004</v>
      </c>
      <c r="G536" s="436"/>
      <c r="H536" s="437"/>
      <c r="I536" s="437"/>
      <c r="J536" s="437"/>
      <c r="K536" s="437"/>
      <c r="L536" s="437"/>
      <c r="M536" s="437"/>
    </row>
    <row r="537" spans="1:13" x14ac:dyDescent="0.25">
      <c r="A537" t="s">
        <v>252</v>
      </c>
      <c r="B537" s="96">
        <v>44589</v>
      </c>
      <c r="C537" s="10">
        <v>8668.1086379999997</v>
      </c>
      <c r="D537" s="10">
        <v>11865.203</v>
      </c>
      <c r="E537" s="10">
        <v>16647.873299999992</v>
      </c>
      <c r="F537" s="10">
        <v>8536.4670000000006</v>
      </c>
      <c r="G537" s="436"/>
      <c r="H537" s="437"/>
      <c r="I537" s="437"/>
      <c r="J537" s="437"/>
      <c r="K537" s="437"/>
      <c r="L537" s="437"/>
      <c r="M537" s="437"/>
    </row>
    <row r="538" spans="1:13" x14ac:dyDescent="0.25">
      <c r="A538" t="s">
        <v>252</v>
      </c>
      <c r="B538" s="96">
        <v>44592</v>
      </c>
      <c r="C538" s="10">
        <v>8439.0720380000021</v>
      </c>
      <c r="D538" s="10">
        <v>11620.151900000001</v>
      </c>
      <c r="E538" s="10">
        <v>16635.176999999996</v>
      </c>
      <c r="F538" s="10">
        <v>8567.9439999999995</v>
      </c>
      <c r="G538" s="436"/>
      <c r="H538" s="437"/>
      <c r="I538" s="437"/>
      <c r="J538" s="437"/>
      <c r="K538" s="122"/>
      <c r="L538" s="122"/>
      <c r="M538" s="437"/>
    </row>
    <row r="539" spans="1:13" x14ac:dyDescent="0.25">
      <c r="A539" t="s">
        <v>253</v>
      </c>
      <c r="B539" s="96">
        <v>44593</v>
      </c>
      <c r="C539" s="10">
        <v>8399.4677380000012</v>
      </c>
      <c r="D539" s="10">
        <v>11762.883</v>
      </c>
      <c r="E539" s="10">
        <v>17113.488199999996</v>
      </c>
      <c r="F539" s="10">
        <v>8651.1229999999996</v>
      </c>
      <c r="G539" s="436"/>
      <c r="H539" s="437"/>
      <c r="I539" s="437"/>
      <c r="J539" s="437"/>
      <c r="K539" s="437"/>
      <c r="L539" s="437"/>
      <c r="M539" s="437"/>
    </row>
    <row r="540" spans="1:13" x14ac:dyDescent="0.25">
      <c r="A540" t="s">
        <v>253</v>
      </c>
      <c r="B540" s="96">
        <v>44594</v>
      </c>
      <c r="C540" s="10">
        <v>8259.8605301999996</v>
      </c>
      <c r="D540" s="10">
        <v>11803.466700000001</v>
      </c>
      <c r="E540" s="10">
        <v>17361.425899999995</v>
      </c>
      <c r="F540" s="10">
        <v>8550.1730000000025</v>
      </c>
      <c r="G540" s="99"/>
      <c r="H540" s="437"/>
      <c r="I540" s="437"/>
      <c r="J540" s="122"/>
      <c r="K540" s="122"/>
      <c r="L540" s="122"/>
      <c r="M540" s="122"/>
    </row>
    <row r="541" spans="1:13" x14ac:dyDescent="0.25">
      <c r="A541" t="s">
        <v>253</v>
      </c>
      <c r="B541" s="96">
        <v>44595</v>
      </c>
      <c r="C541" s="10">
        <v>8313.1960279999985</v>
      </c>
      <c r="D541" s="10">
        <v>11847.7518</v>
      </c>
      <c r="E541" s="10">
        <v>17336.1656</v>
      </c>
      <c r="F541" s="10">
        <v>8510.7450000000008</v>
      </c>
      <c r="G541" s="436"/>
      <c r="H541" s="437"/>
      <c r="I541" s="437"/>
      <c r="J541" s="437"/>
      <c r="K541" s="437"/>
      <c r="L541" s="437"/>
      <c r="M541" s="437"/>
    </row>
    <row r="542" spans="1:13" x14ac:dyDescent="0.25">
      <c r="A542" t="s">
        <v>253</v>
      </c>
      <c r="B542" s="96">
        <v>44599</v>
      </c>
      <c r="C542" s="10">
        <v>8408.0949239999991</v>
      </c>
      <c r="D542" s="10">
        <v>11346.023800000003</v>
      </c>
      <c r="E542" s="10">
        <v>16887.870499999994</v>
      </c>
      <c r="F542" s="10">
        <v>7850.4630000000006</v>
      </c>
      <c r="G542" s="436"/>
      <c r="H542" s="437"/>
      <c r="I542" s="437"/>
      <c r="J542" s="437"/>
      <c r="K542" s="437"/>
      <c r="L542" s="437"/>
      <c r="M542" s="437"/>
    </row>
    <row r="543" spans="1:13" x14ac:dyDescent="0.25">
      <c r="A543" t="s">
        <v>253</v>
      </c>
      <c r="B543" s="96">
        <v>44600</v>
      </c>
      <c r="C543" s="10">
        <v>8310.8991521999997</v>
      </c>
      <c r="D543" s="10">
        <v>11544.441800000001</v>
      </c>
      <c r="E543" s="10">
        <v>17342.474099999992</v>
      </c>
      <c r="F543" s="10">
        <v>8016.433</v>
      </c>
      <c r="G543" s="436"/>
      <c r="H543" s="437"/>
      <c r="I543" s="437"/>
      <c r="J543" s="437"/>
      <c r="K543" s="437"/>
      <c r="L543" s="437"/>
      <c r="M543" s="437"/>
    </row>
    <row r="544" spans="1:13" x14ac:dyDescent="0.25">
      <c r="A544" t="s">
        <v>253</v>
      </c>
      <c r="B544" s="96">
        <v>44601</v>
      </c>
      <c r="C544" s="10">
        <v>8508.6384258800026</v>
      </c>
      <c r="D544" s="10">
        <v>11462.436800000001</v>
      </c>
      <c r="E544" s="10">
        <v>17544.007699999995</v>
      </c>
      <c r="F544" s="10">
        <v>8137.6989999999996</v>
      </c>
      <c r="G544" s="436"/>
      <c r="H544" s="437"/>
      <c r="I544" s="437"/>
      <c r="J544" s="437"/>
      <c r="K544" s="437"/>
      <c r="L544" s="437"/>
      <c r="M544" s="437"/>
    </row>
    <row r="545" spans="1:13" x14ac:dyDescent="0.25">
      <c r="A545" t="s">
        <v>253</v>
      </c>
      <c r="B545" s="96">
        <v>44602</v>
      </c>
      <c r="C545" s="10">
        <v>8858.4210879999991</v>
      </c>
      <c r="D545" s="10">
        <v>11550.520800000004</v>
      </c>
      <c r="E545" s="10">
        <v>17512.164700000001</v>
      </c>
      <c r="F545" s="10">
        <v>8267.6659999999993</v>
      </c>
      <c r="G545" s="436"/>
      <c r="H545" s="437"/>
      <c r="I545" s="437"/>
      <c r="J545" s="437"/>
      <c r="K545" s="437"/>
      <c r="L545" s="437"/>
      <c r="M545" s="437"/>
    </row>
    <row r="546" spans="1:13" x14ac:dyDescent="0.25">
      <c r="A546" t="s">
        <v>253</v>
      </c>
      <c r="B546" s="96">
        <v>44603</v>
      </c>
      <c r="C546" s="10">
        <v>8903.7811380000039</v>
      </c>
      <c r="D546" s="10">
        <v>11627.614799999999</v>
      </c>
      <c r="E546" s="10">
        <v>17393.1263</v>
      </c>
      <c r="F546" s="10">
        <v>8336.5820000000003</v>
      </c>
      <c r="G546" s="436"/>
      <c r="H546" s="437"/>
      <c r="I546" s="437"/>
      <c r="J546" s="437"/>
      <c r="K546" s="437"/>
      <c r="L546" s="437"/>
      <c r="M546" s="437"/>
    </row>
    <row r="547" spans="1:13" x14ac:dyDescent="0.25">
      <c r="A547" t="s">
        <v>253</v>
      </c>
      <c r="B547" s="96">
        <v>44607</v>
      </c>
      <c r="C547" s="10">
        <v>8580.1881178000003</v>
      </c>
      <c r="D547" s="10">
        <v>12125.502799999998</v>
      </c>
      <c r="E547" s="10">
        <v>17171.649399999998</v>
      </c>
      <c r="F547" s="10">
        <v>8250.5159999999996</v>
      </c>
      <c r="G547" s="436"/>
      <c r="H547" s="437"/>
      <c r="I547" s="437"/>
      <c r="J547" s="437"/>
      <c r="K547" s="437"/>
      <c r="L547" s="437"/>
      <c r="M547" s="437"/>
    </row>
    <row r="548" spans="1:13" x14ac:dyDescent="0.25">
      <c r="A548" t="s">
        <v>253</v>
      </c>
      <c r="B548" s="96">
        <v>44609</v>
      </c>
      <c r="C548" s="10">
        <v>8759.1071257999993</v>
      </c>
      <c r="D548" s="10">
        <v>12171.846</v>
      </c>
      <c r="E548" s="10">
        <v>16755.242100000003</v>
      </c>
      <c r="F548" s="10">
        <v>8249.9500000000007</v>
      </c>
      <c r="G548" s="436"/>
      <c r="H548" s="437"/>
      <c r="I548" s="437"/>
      <c r="J548" s="437"/>
      <c r="K548" s="437"/>
      <c r="L548" s="437"/>
      <c r="M548" s="437"/>
    </row>
    <row r="549" spans="1:13" x14ac:dyDescent="0.25">
      <c r="A549" t="s">
        <v>253</v>
      </c>
      <c r="B549" s="96">
        <v>44610</v>
      </c>
      <c r="C549" s="10">
        <v>8754.9196257999974</v>
      </c>
      <c r="D549" s="10">
        <v>12361.385999999999</v>
      </c>
      <c r="E549" s="10">
        <v>16712.783599999999</v>
      </c>
      <c r="F549" s="10">
        <v>8253.1409999999996</v>
      </c>
      <c r="G549" s="436"/>
      <c r="H549" s="437"/>
      <c r="I549" s="437"/>
      <c r="J549" s="437"/>
      <c r="K549" s="437"/>
      <c r="L549" s="437"/>
      <c r="M549" s="437"/>
    </row>
    <row r="550" spans="1:13" x14ac:dyDescent="0.25">
      <c r="A550" t="s">
        <v>253</v>
      </c>
      <c r="B550" s="96">
        <v>44613</v>
      </c>
      <c r="C550" s="10">
        <v>8781.4247557999988</v>
      </c>
      <c r="D550" s="10">
        <v>12470.395900000001</v>
      </c>
      <c r="E550" s="10">
        <v>16490.767100000001</v>
      </c>
      <c r="F550" s="10">
        <v>8003.3689999999997</v>
      </c>
      <c r="G550" s="436"/>
      <c r="H550" s="437"/>
      <c r="I550" s="437"/>
      <c r="J550" s="437"/>
      <c r="K550" s="437"/>
      <c r="L550" s="437"/>
      <c r="M550" s="437"/>
    </row>
    <row r="551" spans="1:13" x14ac:dyDescent="0.25">
      <c r="A551" t="s">
        <v>253</v>
      </c>
      <c r="B551" s="96">
        <v>44614</v>
      </c>
      <c r="C551" s="10">
        <v>8679.4579217999999</v>
      </c>
      <c r="D551" s="10">
        <v>12682.589199999999</v>
      </c>
      <c r="E551" s="10">
        <v>16821.2857</v>
      </c>
      <c r="F551" s="10">
        <v>8196.4380000000001</v>
      </c>
      <c r="G551" s="436"/>
      <c r="H551" s="437"/>
      <c r="I551" s="437"/>
      <c r="J551" s="437"/>
      <c r="K551" s="437"/>
      <c r="L551" s="437"/>
      <c r="M551" s="437"/>
    </row>
    <row r="552" spans="1:13" x14ac:dyDescent="0.25">
      <c r="A552" t="s">
        <v>253</v>
      </c>
      <c r="B552" s="96">
        <v>44615</v>
      </c>
      <c r="C552" s="10">
        <v>8796.2253717999993</v>
      </c>
      <c r="D552" s="10">
        <v>12656.6032</v>
      </c>
      <c r="E552" s="10">
        <v>17138.899800000003</v>
      </c>
      <c r="F552" s="10">
        <v>8363.2180000000008</v>
      </c>
      <c r="G552" s="436"/>
      <c r="H552" s="437"/>
      <c r="I552" s="437"/>
      <c r="J552" s="437"/>
      <c r="K552" s="437"/>
      <c r="L552" s="437"/>
      <c r="M552" s="437"/>
    </row>
    <row r="553" spans="1:13" x14ac:dyDescent="0.25">
      <c r="A553" t="s">
        <v>253</v>
      </c>
      <c r="B553" s="96">
        <v>44616</v>
      </c>
      <c r="C553" s="10">
        <v>8472.3609245999996</v>
      </c>
      <c r="D553" s="10">
        <v>12611.198200000001</v>
      </c>
      <c r="E553" s="10">
        <v>17533.660399999997</v>
      </c>
      <c r="F553" s="10">
        <v>8496.4850000000006</v>
      </c>
      <c r="G553" s="436"/>
      <c r="H553" s="437"/>
      <c r="I553" s="437"/>
      <c r="J553" s="437"/>
      <c r="K553" s="437"/>
      <c r="L553" s="437"/>
      <c r="M553" s="437"/>
    </row>
    <row r="554" spans="1:13" x14ac:dyDescent="0.25">
      <c r="A554" t="s">
        <v>253</v>
      </c>
      <c r="B554" s="96">
        <v>44617</v>
      </c>
      <c r="C554" s="10">
        <v>8162.6885051000017</v>
      </c>
      <c r="D554" s="10">
        <v>12695.432200000001</v>
      </c>
      <c r="E554" s="10">
        <v>17640.428500000005</v>
      </c>
      <c r="F554" s="10">
        <v>8613.6650000000009</v>
      </c>
      <c r="G554" s="436"/>
      <c r="H554" s="437"/>
      <c r="I554" s="437"/>
      <c r="J554" s="437"/>
      <c r="K554" s="437"/>
      <c r="L554" s="437"/>
      <c r="M554" s="437"/>
    </row>
    <row r="555" spans="1:13" x14ac:dyDescent="0.25">
      <c r="A555" t="s">
        <v>253</v>
      </c>
      <c r="B555" s="96">
        <v>44620</v>
      </c>
      <c r="C555" s="10">
        <v>7762.6093217999996</v>
      </c>
      <c r="D555" s="10">
        <v>12643.123899999999</v>
      </c>
      <c r="E555" s="10">
        <v>17715.708299999998</v>
      </c>
      <c r="F555" s="10">
        <v>8851.9660000000003</v>
      </c>
      <c r="G555" s="436"/>
      <c r="H555" s="437"/>
      <c r="I555" s="437"/>
      <c r="J555" s="437"/>
      <c r="K555" s="437"/>
      <c r="L555" s="437"/>
      <c r="M555" s="437"/>
    </row>
    <row r="556" spans="1:13" x14ac:dyDescent="0.25">
      <c r="A556" t="s">
        <v>254</v>
      </c>
      <c r="B556" s="96">
        <v>44621</v>
      </c>
      <c r="C556" s="10">
        <v>7914.8854785000012</v>
      </c>
      <c r="D556" s="10">
        <v>12846.862000000001</v>
      </c>
      <c r="E556" s="10">
        <v>17928.057100000002</v>
      </c>
      <c r="F556" s="10">
        <v>8952.6139999999996</v>
      </c>
      <c r="G556" s="436"/>
      <c r="H556" s="437"/>
      <c r="I556" s="437"/>
      <c r="J556" s="437"/>
      <c r="K556" s="437"/>
      <c r="L556" s="437"/>
      <c r="M556" s="437"/>
    </row>
    <row r="557" spans="1:13" x14ac:dyDescent="0.25">
      <c r="A557" t="s">
        <v>254</v>
      </c>
      <c r="B557" s="96">
        <v>44622</v>
      </c>
      <c r="C557" s="10">
        <v>7803.4390900000008</v>
      </c>
      <c r="D557" s="10">
        <v>12683.7909</v>
      </c>
      <c r="E557" s="10">
        <v>17776.888800000001</v>
      </c>
      <c r="F557" s="10">
        <v>8844.6219999999994</v>
      </c>
      <c r="G557" s="436"/>
      <c r="H557" s="437"/>
      <c r="I557" s="437"/>
      <c r="J557" s="437"/>
      <c r="K557" s="437"/>
      <c r="L557" s="437"/>
      <c r="M557" s="437"/>
    </row>
    <row r="558" spans="1:13" x14ac:dyDescent="0.25">
      <c r="A558" t="s">
        <v>254</v>
      </c>
      <c r="B558" s="96">
        <v>44623</v>
      </c>
      <c r="C558" s="10">
        <v>7989.1965899999996</v>
      </c>
      <c r="D558" s="10">
        <v>12732.587000000001</v>
      </c>
      <c r="E558" s="10">
        <v>17483.025000000005</v>
      </c>
      <c r="F558" s="10">
        <v>8840.4249999999993</v>
      </c>
      <c r="G558" s="436"/>
      <c r="H558" s="437"/>
      <c r="I558" s="437"/>
      <c r="J558" s="437"/>
      <c r="K558" s="437"/>
      <c r="L558" s="437"/>
      <c r="M558" s="437"/>
    </row>
    <row r="559" spans="1:13" x14ac:dyDescent="0.25">
      <c r="A559" t="s">
        <v>254</v>
      </c>
      <c r="B559" s="96">
        <v>44624</v>
      </c>
      <c r="C559" s="10">
        <v>8135.2375900000006</v>
      </c>
      <c r="D559" s="10">
        <v>12792.666999999998</v>
      </c>
      <c r="E559" s="10">
        <v>17283.977200000001</v>
      </c>
      <c r="F559" s="10">
        <v>8821.6749999999993</v>
      </c>
      <c r="G559" s="436"/>
      <c r="H559" s="437"/>
      <c r="I559" s="437"/>
      <c r="J559" s="437"/>
      <c r="K559" s="437"/>
      <c r="L559" s="437"/>
      <c r="M559" s="437"/>
    </row>
    <row r="560" spans="1:13" x14ac:dyDescent="0.25">
      <c r="A560" t="s">
        <v>254</v>
      </c>
      <c r="B560" s="96">
        <v>44627</v>
      </c>
      <c r="C560" s="10">
        <v>7903.2241621000003</v>
      </c>
      <c r="D560" s="10">
        <v>12483.389000000001</v>
      </c>
      <c r="E560" s="10">
        <v>17231.450500000006</v>
      </c>
      <c r="F560" s="10">
        <v>8613.5</v>
      </c>
      <c r="G560" s="436"/>
      <c r="H560" s="437"/>
      <c r="I560" s="437"/>
      <c r="J560" s="437"/>
      <c r="K560" s="437"/>
      <c r="L560" s="437"/>
      <c r="M560" s="437"/>
    </row>
    <row r="561" spans="1:13" x14ac:dyDescent="0.25">
      <c r="A561" t="s">
        <v>254</v>
      </c>
      <c r="B561" s="96">
        <v>44628</v>
      </c>
      <c r="C561" s="10">
        <v>8012.2011621000011</v>
      </c>
      <c r="D561" s="10">
        <v>12700.251999999999</v>
      </c>
      <c r="E561" s="10">
        <v>17310.479999999956</v>
      </c>
      <c r="F561" s="10">
        <v>8631.9380000000001</v>
      </c>
      <c r="G561" s="436"/>
      <c r="H561" s="437"/>
      <c r="I561" s="437"/>
      <c r="J561" s="437"/>
      <c r="K561" s="437"/>
      <c r="L561" s="437"/>
      <c r="M561" s="437"/>
    </row>
    <row r="562" spans="1:13" x14ac:dyDescent="0.25">
      <c r="A562" t="s">
        <v>254</v>
      </c>
      <c r="B562" s="96">
        <v>44629</v>
      </c>
      <c r="C562" s="10">
        <v>8376.4757816000001</v>
      </c>
      <c r="D562" s="10">
        <v>12684.870000000003</v>
      </c>
      <c r="E562" s="10">
        <v>17258.159999999902</v>
      </c>
      <c r="F562" s="10">
        <v>8709.2999999999993</v>
      </c>
      <c r="G562" s="436"/>
      <c r="H562" s="437"/>
      <c r="I562" s="437"/>
      <c r="J562" s="437"/>
      <c r="K562" s="437"/>
      <c r="L562" s="437"/>
      <c r="M562" s="437"/>
    </row>
    <row r="563" spans="1:13" x14ac:dyDescent="0.25">
      <c r="A563" t="s">
        <v>254</v>
      </c>
      <c r="B563" s="96">
        <v>44630</v>
      </c>
      <c r="C563" s="10">
        <v>8472.9268816000003</v>
      </c>
      <c r="D563" s="10">
        <v>12451.420899999997</v>
      </c>
      <c r="E563" s="10">
        <v>17412.056899999865</v>
      </c>
      <c r="F563" s="10">
        <v>8634.6890000000003</v>
      </c>
      <c r="G563" s="436"/>
      <c r="H563" s="437"/>
      <c r="I563" s="437"/>
      <c r="J563" s="437"/>
      <c r="K563" s="437"/>
      <c r="L563" s="437"/>
      <c r="M563" s="437"/>
    </row>
    <row r="564" spans="1:13" x14ac:dyDescent="0.25">
      <c r="A564" t="s">
        <v>254</v>
      </c>
      <c r="B564" s="96">
        <v>44631</v>
      </c>
      <c r="C564" s="10">
        <v>8732.1021816000011</v>
      </c>
      <c r="D564" s="10">
        <v>12613.703000000001</v>
      </c>
      <c r="E564" s="10">
        <v>17579.380599999844</v>
      </c>
      <c r="F564" s="10">
        <v>8451.2729999999992</v>
      </c>
      <c r="G564" s="436"/>
      <c r="H564" s="437"/>
      <c r="I564" s="437"/>
      <c r="J564" s="437"/>
      <c r="K564" s="437"/>
      <c r="L564" s="437"/>
      <c r="M564" s="437"/>
    </row>
    <row r="565" spans="1:13" x14ac:dyDescent="0.25">
      <c r="A565" t="s">
        <v>254</v>
      </c>
      <c r="B565" s="96">
        <v>44634</v>
      </c>
      <c r="C565" s="10">
        <v>9223.302581599999</v>
      </c>
      <c r="D565" s="10">
        <v>12052.250999999998</v>
      </c>
      <c r="E565" s="10">
        <v>17543.073999999855</v>
      </c>
      <c r="F565" s="10">
        <v>8438.7690000000002</v>
      </c>
      <c r="G565" s="436"/>
      <c r="H565" s="437"/>
      <c r="I565" s="437"/>
      <c r="J565" s="437"/>
      <c r="K565" s="437"/>
      <c r="L565" s="437"/>
      <c r="M565" s="437"/>
    </row>
    <row r="566" spans="1:13" x14ac:dyDescent="0.25">
      <c r="A566" t="s">
        <v>254</v>
      </c>
      <c r="B566" s="96">
        <v>44635</v>
      </c>
      <c r="C566" s="10">
        <v>9190.456481600002</v>
      </c>
      <c r="D566" s="10">
        <v>12254.697700000001</v>
      </c>
      <c r="E566" s="10">
        <v>18169.744999999864</v>
      </c>
      <c r="F566" s="10">
        <v>8657.2980000000007</v>
      </c>
      <c r="G566" s="436"/>
      <c r="H566" s="437"/>
      <c r="I566" s="437"/>
      <c r="J566" s="437"/>
      <c r="K566" s="437"/>
      <c r="L566" s="437"/>
      <c r="M566" s="437"/>
    </row>
    <row r="567" spans="1:13" x14ac:dyDescent="0.25">
      <c r="A567" t="s">
        <v>254</v>
      </c>
      <c r="B567" s="96">
        <v>44636</v>
      </c>
      <c r="C567" s="10">
        <v>9277.6066153000011</v>
      </c>
      <c r="D567" s="10">
        <v>12275.6157</v>
      </c>
      <c r="E567" s="10">
        <v>18310.693399999858</v>
      </c>
      <c r="F567" s="10">
        <v>8814.1020000000008</v>
      </c>
      <c r="G567" s="436"/>
      <c r="H567" s="437"/>
      <c r="I567" s="437"/>
      <c r="J567" s="437"/>
      <c r="K567" s="437"/>
      <c r="L567" s="437"/>
      <c r="M567" s="437"/>
    </row>
    <row r="568" spans="1:13" x14ac:dyDescent="0.25">
      <c r="A568" t="s">
        <v>254</v>
      </c>
      <c r="B568" s="96">
        <v>44638</v>
      </c>
      <c r="C568" s="10">
        <v>9370.8759872999999</v>
      </c>
      <c r="D568" s="10">
        <v>12221.448</v>
      </c>
      <c r="E568" s="10">
        <v>18372.881299999881</v>
      </c>
      <c r="F568" s="10">
        <v>8756.5509999999995</v>
      </c>
      <c r="G568" s="436"/>
      <c r="H568" s="437"/>
      <c r="I568" s="437"/>
      <c r="J568" s="437"/>
      <c r="K568" s="437"/>
      <c r="L568" s="437"/>
      <c r="M568" s="437"/>
    </row>
    <row r="569" spans="1:13" x14ac:dyDescent="0.25">
      <c r="A569" t="s">
        <v>254</v>
      </c>
      <c r="B569" s="96">
        <v>44641</v>
      </c>
      <c r="C569" s="10">
        <v>8968.0074372999989</v>
      </c>
      <c r="D569" s="10">
        <v>12126.609999999999</v>
      </c>
      <c r="E569" s="10">
        <v>17916.877499999882</v>
      </c>
      <c r="F569" s="10">
        <v>8647.8790000000008</v>
      </c>
      <c r="G569" s="436"/>
      <c r="H569" s="437"/>
      <c r="I569" s="437"/>
      <c r="J569" s="437"/>
      <c r="K569" s="437"/>
      <c r="L569" s="437"/>
      <c r="M569" s="437"/>
    </row>
    <row r="570" spans="1:13" x14ac:dyDescent="0.25">
      <c r="A570" t="s">
        <v>254</v>
      </c>
      <c r="B570" s="96">
        <v>44642</v>
      </c>
      <c r="C570" s="10">
        <v>8955.5604772999995</v>
      </c>
      <c r="D570" s="10">
        <v>12289.761999999999</v>
      </c>
      <c r="E570" s="10">
        <v>18330.772399999882</v>
      </c>
      <c r="F570" s="10">
        <v>8717.1919999999991</v>
      </c>
      <c r="G570" s="436"/>
      <c r="H570" s="437"/>
      <c r="I570" s="437"/>
      <c r="J570" s="437"/>
      <c r="K570" s="437"/>
      <c r="L570" s="437"/>
      <c r="M570" s="437"/>
    </row>
    <row r="571" spans="1:13" x14ac:dyDescent="0.25">
      <c r="A571" t="s">
        <v>254</v>
      </c>
      <c r="B571" s="96">
        <v>44643</v>
      </c>
      <c r="C571" s="10">
        <v>9253.2410753000022</v>
      </c>
      <c r="D571" s="10">
        <v>12405.226000000002</v>
      </c>
      <c r="E571" s="10">
        <v>18733.669299999892</v>
      </c>
      <c r="F571" s="10">
        <v>8568.5720000000001</v>
      </c>
      <c r="G571" s="436"/>
      <c r="H571" s="437"/>
      <c r="I571" s="437"/>
      <c r="J571" s="437"/>
      <c r="K571" s="437"/>
      <c r="L571" s="437"/>
      <c r="M571" s="437"/>
    </row>
    <row r="572" spans="1:13" x14ac:dyDescent="0.25">
      <c r="A572" t="s">
        <v>254</v>
      </c>
      <c r="B572" s="96">
        <v>44644</v>
      </c>
      <c r="C572" s="10">
        <v>9163.7132632999965</v>
      </c>
      <c r="D572" s="10">
        <v>12387.772799999999</v>
      </c>
      <c r="E572" s="10">
        <v>18862.204299999896</v>
      </c>
      <c r="F572" s="10">
        <v>8431.9989999999998</v>
      </c>
      <c r="G572" s="436"/>
      <c r="H572" s="437"/>
      <c r="I572" s="437"/>
      <c r="J572" s="437"/>
      <c r="K572" s="437"/>
      <c r="L572" s="437"/>
      <c r="M572" s="437"/>
    </row>
    <row r="573" spans="1:13" x14ac:dyDescent="0.25">
      <c r="A573" t="s">
        <v>254</v>
      </c>
      <c r="B573" s="96">
        <v>44645</v>
      </c>
      <c r="C573" s="10">
        <v>9178.4813417999994</v>
      </c>
      <c r="D573" s="10">
        <v>12255.104800000001</v>
      </c>
      <c r="E573" s="10">
        <v>18937.675199999903</v>
      </c>
      <c r="F573" s="10">
        <v>8311.1350000000002</v>
      </c>
      <c r="G573" s="436"/>
      <c r="H573" s="437"/>
      <c r="I573" s="437"/>
      <c r="J573" s="437"/>
      <c r="K573" s="437"/>
      <c r="L573" s="437"/>
      <c r="M573" s="437"/>
    </row>
    <row r="574" spans="1:13" x14ac:dyDescent="0.25">
      <c r="A574" t="s">
        <v>254</v>
      </c>
      <c r="B574" s="96">
        <v>44648</v>
      </c>
      <c r="C574" s="10">
        <v>9091.8427207000004</v>
      </c>
      <c r="D574" s="10">
        <v>11702.216</v>
      </c>
      <c r="E574" s="10">
        <v>18071.055099999925</v>
      </c>
      <c r="F574" s="10">
        <v>8189.4740000000011</v>
      </c>
      <c r="G574" s="436"/>
      <c r="H574" s="437"/>
      <c r="I574" s="437"/>
      <c r="J574" s="437"/>
      <c r="K574" s="437"/>
      <c r="L574" s="437"/>
      <c r="M574" s="437"/>
    </row>
    <row r="575" spans="1:13" x14ac:dyDescent="0.25">
      <c r="A575" t="s">
        <v>254</v>
      </c>
      <c r="B575" s="96">
        <v>44649</v>
      </c>
      <c r="C575" s="10">
        <v>9250.3541428999997</v>
      </c>
      <c r="D575" s="10">
        <v>11805.190999999999</v>
      </c>
      <c r="E575" s="10">
        <v>18222.676999999945</v>
      </c>
      <c r="F575" s="10">
        <v>8289.2090000000007</v>
      </c>
      <c r="G575" s="436"/>
      <c r="H575" s="437"/>
      <c r="I575" s="437"/>
      <c r="J575" s="437"/>
      <c r="K575" s="437"/>
      <c r="L575" s="437"/>
      <c r="M575" s="437"/>
    </row>
    <row r="576" spans="1:13" x14ac:dyDescent="0.25">
      <c r="A576" t="s">
        <v>254</v>
      </c>
      <c r="B576" s="96">
        <v>44650</v>
      </c>
      <c r="C576" s="10">
        <v>9139.7729428999974</v>
      </c>
      <c r="D576" s="10">
        <v>11641.243</v>
      </c>
      <c r="E576" s="10">
        <v>18518.333399999941</v>
      </c>
      <c r="F576" s="10">
        <v>8289.9650000000001</v>
      </c>
      <c r="G576" s="436"/>
      <c r="H576" s="437"/>
      <c r="I576" s="437"/>
      <c r="J576" s="437"/>
      <c r="K576" s="437"/>
      <c r="L576" s="437"/>
      <c r="M576" s="437"/>
    </row>
    <row r="577" spans="1:13" x14ac:dyDescent="0.25">
      <c r="A577" t="s">
        <v>254</v>
      </c>
      <c r="B577" s="96">
        <v>44651</v>
      </c>
      <c r="C577" s="10">
        <v>9186.4212687999989</v>
      </c>
      <c r="D577" s="10">
        <v>11467.475999999999</v>
      </c>
      <c r="E577" s="10">
        <v>18700.712999999952</v>
      </c>
      <c r="F577" s="10">
        <v>8090.7440000000006</v>
      </c>
      <c r="G577" s="436"/>
      <c r="H577" s="437"/>
      <c r="I577" s="437"/>
      <c r="J577" s="437"/>
      <c r="K577" s="437"/>
      <c r="L577" s="437"/>
      <c r="M577" s="437"/>
    </row>
    <row r="578" spans="1:13" x14ac:dyDescent="0.25">
      <c r="A578" t="s">
        <v>255</v>
      </c>
      <c r="B578" s="96">
        <v>44652</v>
      </c>
      <c r="C578" s="10">
        <v>8847.8712687999996</v>
      </c>
      <c r="D578" s="10">
        <v>11499.745999999999</v>
      </c>
      <c r="E578" s="10">
        <v>18284.739299999957</v>
      </c>
      <c r="F578" s="10">
        <v>8127.8879999999999</v>
      </c>
      <c r="G578" s="436"/>
      <c r="H578" s="437"/>
      <c r="I578" s="437"/>
      <c r="J578" s="437"/>
      <c r="K578" s="437"/>
      <c r="L578" s="437"/>
      <c r="M578" s="437"/>
    </row>
    <row r="579" spans="1:13" x14ac:dyDescent="0.25">
      <c r="A579" t="s">
        <v>255</v>
      </c>
      <c r="B579" s="96">
        <v>44655</v>
      </c>
      <c r="C579" s="10">
        <v>8465.5230687999992</v>
      </c>
      <c r="D579" s="10">
        <v>10792.294</v>
      </c>
      <c r="E579" s="10">
        <v>17457.646699999968</v>
      </c>
      <c r="F579" s="10">
        <v>7480.2960000000003</v>
      </c>
      <c r="G579" s="436"/>
      <c r="H579" s="437"/>
      <c r="I579" s="437"/>
      <c r="J579" s="437"/>
      <c r="K579" s="437"/>
      <c r="L579" s="437"/>
      <c r="M579" s="437"/>
    </row>
    <row r="580" spans="1:13" x14ac:dyDescent="0.25">
      <c r="A580" t="s">
        <v>255</v>
      </c>
      <c r="B580" s="96">
        <v>44656</v>
      </c>
      <c r="C580" s="10">
        <v>8446.1400688000012</v>
      </c>
      <c r="D580" s="10">
        <v>10999.16</v>
      </c>
      <c r="E580" s="10">
        <v>17816.502999999972</v>
      </c>
      <c r="F580" s="10">
        <v>7573.2545</v>
      </c>
      <c r="G580" s="436"/>
      <c r="H580" s="437"/>
      <c r="I580" s="437"/>
      <c r="J580" s="437"/>
      <c r="K580" s="437"/>
      <c r="L580" s="437"/>
      <c r="M580" s="437"/>
    </row>
    <row r="581" spans="1:13" x14ac:dyDescent="0.25">
      <c r="A581" t="s">
        <v>255</v>
      </c>
      <c r="B581" s="96">
        <v>44657</v>
      </c>
      <c r="C581" s="10">
        <v>8628.0608088999998</v>
      </c>
      <c r="D581" s="10">
        <v>11073.029</v>
      </c>
      <c r="E581" s="10">
        <v>18079.665199999985</v>
      </c>
      <c r="F581" s="10">
        <v>7841.1125000000011</v>
      </c>
      <c r="G581" s="436"/>
      <c r="H581" s="437"/>
      <c r="I581" s="437"/>
      <c r="J581" s="437"/>
      <c r="K581" s="437"/>
      <c r="L581" s="437"/>
      <c r="M581" s="437"/>
    </row>
    <row r="582" spans="1:13" x14ac:dyDescent="0.25">
      <c r="A582" t="s">
        <v>255</v>
      </c>
      <c r="B582" s="96">
        <v>44658</v>
      </c>
      <c r="C582" s="10">
        <v>8392.8212687999985</v>
      </c>
      <c r="D582" s="10">
        <v>10900.097</v>
      </c>
      <c r="E582" s="10">
        <v>17959.586499999987</v>
      </c>
      <c r="F582" s="10">
        <v>7826.1455000000005</v>
      </c>
      <c r="G582" s="436"/>
      <c r="H582" s="437"/>
      <c r="I582" s="437"/>
      <c r="J582" s="437"/>
      <c r="K582" s="437"/>
      <c r="L582" s="437"/>
      <c r="M582" s="437"/>
    </row>
    <row r="583" spans="1:13" x14ac:dyDescent="0.25">
      <c r="A583" t="s">
        <v>255</v>
      </c>
      <c r="B583" s="96">
        <v>44659</v>
      </c>
      <c r="C583" s="10">
        <v>8301.5564187999989</v>
      </c>
      <c r="D583" s="10">
        <v>10994.980999999998</v>
      </c>
      <c r="E583" s="10">
        <v>17932.217099999998</v>
      </c>
      <c r="F583" s="10">
        <v>7822.5455000000002</v>
      </c>
      <c r="G583" s="436"/>
      <c r="H583" s="437"/>
      <c r="I583" s="437"/>
      <c r="J583" s="437"/>
      <c r="K583" s="437"/>
      <c r="L583" s="437"/>
      <c r="M583" s="437"/>
    </row>
    <row r="584" spans="1:13" x14ac:dyDescent="0.25">
      <c r="A584" t="s">
        <v>255</v>
      </c>
      <c r="B584" s="96">
        <v>44666</v>
      </c>
      <c r="C584" s="10">
        <v>7583.5122188000005</v>
      </c>
      <c r="D584" s="10">
        <v>10893.772000000001</v>
      </c>
      <c r="E584" s="10">
        <v>17944.678599999996</v>
      </c>
      <c r="F584" s="10">
        <v>7405.4404999999997</v>
      </c>
      <c r="G584" s="436"/>
      <c r="H584" s="437"/>
      <c r="I584" s="437"/>
      <c r="J584" s="437"/>
      <c r="K584" s="437"/>
      <c r="L584" s="437"/>
      <c r="M584" s="437"/>
    </row>
    <row r="585" spans="1:13" x14ac:dyDescent="0.25">
      <c r="A585" t="s">
        <v>255</v>
      </c>
      <c r="B585" s="96">
        <v>44669</v>
      </c>
      <c r="C585" s="10">
        <v>7583.5122187999978</v>
      </c>
      <c r="D585" s="10">
        <v>10893.771999999999</v>
      </c>
      <c r="E585" s="10">
        <v>17944.678599999988</v>
      </c>
      <c r="F585" s="10">
        <v>7371.0654999999997</v>
      </c>
      <c r="G585" s="436"/>
      <c r="H585" s="437"/>
      <c r="I585" s="437"/>
      <c r="J585" s="437"/>
      <c r="K585" s="437"/>
      <c r="L585" s="437"/>
      <c r="M585" s="437"/>
    </row>
    <row r="586" spans="1:13" x14ac:dyDescent="0.25">
      <c r="A586" t="s">
        <v>255</v>
      </c>
      <c r="B586" s="96">
        <v>44670</v>
      </c>
      <c r="C586" s="10">
        <v>7579.8928188</v>
      </c>
      <c r="D586" s="10">
        <v>10922.432999999999</v>
      </c>
      <c r="E586" s="10">
        <v>18073.985099999998</v>
      </c>
      <c r="F586" s="10">
        <v>7612.2524999999996</v>
      </c>
      <c r="G586" s="436"/>
      <c r="H586" s="437"/>
      <c r="I586" s="437"/>
      <c r="J586" s="437"/>
      <c r="K586" s="437"/>
      <c r="L586" s="437"/>
      <c r="M586" s="437"/>
    </row>
    <row r="587" spans="1:13" x14ac:dyDescent="0.25">
      <c r="A587" t="s">
        <v>255</v>
      </c>
      <c r="B587" s="96">
        <v>44671</v>
      </c>
      <c r="C587" s="10">
        <v>7538.3485850999987</v>
      </c>
      <c r="D587" s="10">
        <v>11051.428899999999</v>
      </c>
      <c r="E587" s="10">
        <v>18552.514599999995</v>
      </c>
      <c r="F587" s="10">
        <v>7611.1745000000001</v>
      </c>
      <c r="G587" s="436"/>
      <c r="H587" s="437"/>
      <c r="I587" s="437"/>
      <c r="J587" s="437"/>
      <c r="K587" s="437"/>
      <c r="L587" s="437"/>
      <c r="M587" s="437"/>
    </row>
    <row r="588" spans="1:13" x14ac:dyDescent="0.25">
      <c r="A588" t="s">
        <v>255</v>
      </c>
      <c r="B588" s="96">
        <v>44672</v>
      </c>
      <c r="C588" s="10">
        <v>7251.7199468000017</v>
      </c>
      <c r="D588" s="10">
        <v>11002.076999999997</v>
      </c>
      <c r="E588" s="10">
        <v>18571.395699999994</v>
      </c>
      <c r="F588" s="10">
        <v>7580.1684999999998</v>
      </c>
      <c r="G588" s="436"/>
      <c r="H588" s="437"/>
      <c r="I588" s="437"/>
      <c r="J588" s="437"/>
      <c r="K588" s="437"/>
      <c r="L588" s="437"/>
      <c r="M588" s="437"/>
    </row>
    <row r="589" spans="1:13" x14ac:dyDescent="0.25">
      <c r="A589" t="s">
        <v>255</v>
      </c>
      <c r="B589" s="96">
        <v>44673</v>
      </c>
      <c r="C589" s="10">
        <v>7279.1647968000025</v>
      </c>
      <c r="D589" s="10">
        <v>10949.571</v>
      </c>
      <c r="E589" s="10">
        <v>18662.500799999998</v>
      </c>
      <c r="F589" s="10">
        <v>7372.4865</v>
      </c>
      <c r="G589" s="436"/>
      <c r="H589" s="437"/>
      <c r="I589" s="437"/>
      <c r="J589" s="437"/>
      <c r="K589" s="437"/>
      <c r="L589" s="437"/>
      <c r="M589" s="437"/>
    </row>
    <row r="590" spans="1:13" x14ac:dyDescent="0.25">
      <c r="A590" t="s">
        <v>255</v>
      </c>
      <c r="B590" s="96">
        <v>44676</v>
      </c>
      <c r="C590" s="10">
        <v>6978.0982788000001</v>
      </c>
      <c r="D590" s="10">
        <v>10856.259</v>
      </c>
      <c r="E590" s="10">
        <v>18418.846700000002</v>
      </c>
      <c r="F590" s="10">
        <v>7197.4054999999998</v>
      </c>
      <c r="G590" s="436"/>
      <c r="H590" s="437"/>
      <c r="I590" s="437"/>
      <c r="J590" s="437"/>
      <c r="K590" s="437"/>
      <c r="L590" s="437"/>
      <c r="M590" s="437"/>
    </row>
    <row r="591" spans="1:13" x14ac:dyDescent="0.25">
      <c r="A591" t="s">
        <v>255</v>
      </c>
      <c r="B591" s="96">
        <v>44677</v>
      </c>
      <c r="C591" s="10">
        <v>7032.5956726000004</v>
      </c>
      <c r="D591" s="10">
        <v>11080.482900000001</v>
      </c>
      <c r="E591" s="10">
        <v>18994.287</v>
      </c>
      <c r="F591" s="10">
        <v>7279.3175000000001</v>
      </c>
      <c r="G591" s="436"/>
      <c r="H591" s="437"/>
      <c r="I591" s="437"/>
      <c r="J591" s="437"/>
      <c r="K591" s="437"/>
      <c r="L591" s="437"/>
      <c r="M591" s="437"/>
    </row>
    <row r="592" spans="1:13" x14ac:dyDescent="0.25">
      <c r="A592" t="s">
        <v>255</v>
      </c>
      <c r="B592" s="96">
        <v>44678</v>
      </c>
      <c r="C592" s="10">
        <v>7294.3851589999995</v>
      </c>
      <c r="D592" s="10">
        <v>11036.5769</v>
      </c>
      <c r="E592" s="10">
        <v>19268.2058</v>
      </c>
      <c r="F592" s="10">
        <v>7227.5595000000003</v>
      </c>
      <c r="G592" s="436"/>
      <c r="H592" s="437"/>
      <c r="I592" s="437"/>
      <c r="J592" s="437"/>
      <c r="K592" s="437"/>
      <c r="L592" s="437"/>
      <c r="M592" s="437"/>
    </row>
    <row r="593" spans="1:18" x14ac:dyDescent="0.25">
      <c r="A593" t="s">
        <v>255</v>
      </c>
      <c r="B593" s="96">
        <v>44679</v>
      </c>
      <c r="C593" s="10">
        <v>7029.7067718000008</v>
      </c>
      <c r="D593" s="10">
        <v>11174.264000000001</v>
      </c>
      <c r="E593" s="10">
        <v>19264.367200000001</v>
      </c>
      <c r="F593" s="10">
        <v>7331.6864999999998</v>
      </c>
      <c r="G593" s="436"/>
      <c r="H593" s="437"/>
      <c r="I593" s="437"/>
      <c r="J593" s="437"/>
      <c r="K593" s="437"/>
      <c r="L593" s="437"/>
      <c r="M593" s="437"/>
    </row>
    <row r="594" spans="1:18" x14ac:dyDescent="0.25">
      <c r="A594" t="s">
        <v>255</v>
      </c>
      <c r="B594" s="96">
        <v>44680</v>
      </c>
      <c r="C594" s="10">
        <v>7118.5675589999992</v>
      </c>
      <c r="D594" s="10">
        <v>11015.344999999999</v>
      </c>
      <c r="E594" s="10">
        <v>19108.290099999995</v>
      </c>
      <c r="F594" s="10">
        <v>7203.2830000000004</v>
      </c>
      <c r="G594" s="436"/>
      <c r="H594" s="437"/>
      <c r="I594" s="437"/>
      <c r="J594" s="437"/>
      <c r="K594" s="437"/>
      <c r="L594" s="437"/>
      <c r="M594" s="437"/>
    </row>
    <row r="595" spans="1:18" x14ac:dyDescent="0.25">
      <c r="A595" t="s">
        <v>256</v>
      </c>
      <c r="B595" s="96">
        <v>44683</v>
      </c>
      <c r="C595" s="10">
        <v>7350.7815859999982</v>
      </c>
      <c r="D595" s="10">
        <v>10828.965899999999</v>
      </c>
      <c r="E595" s="10">
        <v>18756.23859999999</v>
      </c>
      <c r="F595" s="10">
        <v>7014.9669999999996</v>
      </c>
      <c r="G595" s="436"/>
      <c r="H595" s="437"/>
      <c r="I595" s="437"/>
      <c r="J595" s="437"/>
      <c r="K595" s="320">
        <v>533</v>
      </c>
      <c r="L595" s="320">
        <v>4110</v>
      </c>
      <c r="M595" s="437"/>
    </row>
    <row r="596" spans="1:18" x14ac:dyDescent="0.25">
      <c r="A596" t="s">
        <v>256</v>
      </c>
      <c r="B596" s="96">
        <v>44684</v>
      </c>
      <c r="C596" s="10">
        <v>7263.6542023999991</v>
      </c>
      <c r="D596" s="10">
        <v>11049.4969</v>
      </c>
      <c r="E596" s="10">
        <v>19154.480799999987</v>
      </c>
      <c r="F596" s="10">
        <v>7079.4309999999996</v>
      </c>
      <c r="G596" s="436"/>
      <c r="H596" s="437"/>
      <c r="I596" s="437"/>
      <c r="J596" s="437"/>
      <c r="K596" s="10">
        <v>551</v>
      </c>
      <c r="L596" s="10">
        <v>4227</v>
      </c>
      <c r="M596" s="437"/>
    </row>
    <row r="597" spans="1:18" x14ac:dyDescent="0.25">
      <c r="A597" t="s">
        <v>256</v>
      </c>
      <c r="B597" s="96">
        <v>44685</v>
      </c>
      <c r="C597" s="10">
        <v>7387.128774400001</v>
      </c>
      <c r="D597" s="10">
        <v>11018.6618</v>
      </c>
      <c r="E597" s="10">
        <v>18809.100699999995</v>
      </c>
      <c r="F597" s="10">
        <v>7075.7719999999999</v>
      </c>
      <c r="G597" s="436"/>
      <c r="H597" s="437"/>
      <c r="I597" s="437"/>
      <c r="J597" s="437"/>
      <c r="K597" s="320">
        <v>539</v>
      </c>
      <c r="L597" s="320">
        <v>4441</v>
      </c>
      <c r="M597" s="437"/>
      <c r="N597" s="194" t="s">
        <v>234</v>
      </c>
      <c r="O597" t="s">
        <v>257</v>
      </c>
    </row>
    <row r="598" spans="1:18" x14ac:dyDescent="0.25">
      <c r="A598" t="s">
        <v>256</v>
      </c>
      <c r="B598" s="96">
        <v>44686</v>
      </c>
      <c r="C598" s="10">
        <v>7215.8174109999991</v>
      </c>
      <c r="D598" s="10">
        <v>10973.4318</v>
      </c>
      <c r="E598" s="10">
        <v>18959.775999999987</v>
      </c>
      <c r="F598" s="10">
        <v>7062.43</v>
      </c>
      <c r="G598" s="436"/>
      <c r="H598" s="437"/>
      <c r="I598" s="437"/>
      <c r="J598" s="437"/>
      <c r="K598" s="320">
        <v>523</v>
      </c>
      <c r="L598" s="320">
        <v>4252</v>
      </c>
      <c r="M598" s="437"/>
    </row>
    <row r="599" spans="1:18" x14ac:dyDescent="0.25">
      <c r="A599" t="s">
        <v>256</v>
      </c>
      <c r="B599" s="96">
        <v>44687</v>
      </c>
      <c r="C599" s="10">
        <v>7196.421711</v>
      </c>
      <c r="D599" s="10">
        <v>10992.8799</v>
      </c>
      <c r="E599" s="10">
        <v>19084.050799999994</v>
      </c>
      <c r="F599" s="10">
        <v>6968.951</v>
      </c>
      <c r="G599" s="436"/>
      <c r="H599" s="437"/>
      <c r="I599" s="437"/>
      <c r="J599" s="437"/>
      <c r="K599" s="320">
        <v>451</v>
      </c>
      <c r="L599" s="320">
        <v>3928</v>
      </c>
      <c r="M599" s="437"/>
      <c r="N599" s="194" t="s">
        <v>70</v>
      </c>
      <c r="O599" t="s">
        <v>65</v>
      </c>
      <c r="P599" t="s">
        <v>73</v>
      </c>
      <c r="Q599" t="s">
        <v>63</v>
      </c>
      <c r="R599" t="s">
        <v>64</v>
      </c>
    </row>
    <row r="600" spans="1:18" x14ac:dyDescent="0.25">
      <c r="A600" t="s">
        <v>256</v>
      </c>
      <c r="B600" s="96">
        <v>44690</v>
      </c>
      <c r="C600" s="10">
        <v>7013.7264109999996</v>
      </c>
      <c r="D600" s="10">
        <v>10738.0659</v>
      </c>
      <c r="E600" s="10">
        <v>18579.481600000003</v>
      </c>
      <c r="F600" s="10">
        <v>6697.3440000000001</v>
      </c>
      <c r="G600" s="436"/>
      <c r="H600" s="437"/>
      <c r="I600" s="437"/>
      <c r="J600" s="437"/>
      <c r="K600" s="320">
        <v>385</v>
      </c>
      <c r="L600" s="320">
        <v>3758</v>
      </c>
      <c r="M600" s="437"/>
      <c r="N600" s="196">
        <v>44746</v>
      </c>
      <c r="O600">
        <v>17714.587950000008</v>
      </c>
      <c r="P600">
        <v>7192.7950000000001</v>
      </c>
      <c r="Q600">
        <v>7352.740490000002</v>
      </c>
      <c r="R600">
        <v>9503.8731999999982</v>
      </c>
    </row>
    <row r="601" spans="1:18" x14ac:dyDescent="0.25">
      <c r="A601" t="s">
        <v>256</v>
      </c>
      <c r="B601" s="96">
        <v>44691</v>
      </c>
      <c r="C601" s="10">
        <v>6892.5019110000003</v>
      </c>
      <c r="D601" s="10">
        <v>10850.857900000001</v>
      </c>
      <c r="E601" s="10">
        <v>18727.177300000003</v>
      </c>
      <c r="F601" s="10">
        <v>6780.549</v>
      </c>
      <c r="G601" s="436"/>
      <c r="H601" s="437"/>
      <c r="I601" s="437"/>
      <c r="J601" s="437"/>
      <c r="K601" s="320">
        <v>385</v>
      </c>
      <c r="L601" s="320">
        <v>3895</v>
      </c>
      <c r="M601" s="437"/>
      <c r="N601" s="196">
        <v>44747</v>
      </c>
      <c r="O601">
        <v>17489.783350000002</v>
      </c>
      <c r="P601">
        <v>6872.7109999999993</v>
      </c>
      <c r="Q601">
        <v>7403.1691900000023</v>
      </c>
      <c r="R601">
        <v>9379.0812000000005</v>
      </c>
    </row>
    <row r="602" spans="1:18" x14ac:dyDescent="0.25">
      <c r="A602" t="s">
        <v>256</v>
      </c>
      <c r="B602" s="96">
        <v>44692</v>
      </c>
      <c r="C602" s="10">
        <v>6886.5874110000013</v>
      </c>
      <c r="D602" s="10">
        <v>10728.650899999997</v>
      </c>
      <c r="E602" s="10">
        <v>18473.310800000003</v>
      </c>
      <c r="F602" s="10">
        <v>6678.1549999999997</v>
      </c>
      <c r="G602" s="436"/>
      <c r="H602" s="437"/>
      <c r="I602" s="437"/>
      <c r="J602" s="437"/>
      <c r="K602" s="320">
        <v>385</v>
      </c>
      <c r="L602" s="320">
        <v>3686</v>
      </c>
      <c r="M602" s="437"/>
      <c r="N602" s="196">
        <v>44748</v>
      </c>
      <c r="O602">
        <v>18075.940549999999</v>
      </c>
      <c r="P602">
        <v>6779.003999999999</v>
      </c>
      <c r="Q602">
        <v>7626.3810900000017</v>
      </c>
      <c r="R602">
        <v>9379.0812000000005</v>
      </c>
    </row>
    <row r="603" spans="1:18" x14ac:dyDescent="0.25">
      <c r="A603" t="s">
        <v>256</v>
      </c>
      <c r="B603" s="96">
        <v>44693</v>
      </c>
      <c r="C603" s="97">
        <v>7017.8424009999999</v>
      </c>
      <c r="D603" s="435">
        <v>10811.433899999998</v>
      </c>
      <c r="E603" s="435">
        <v>18371.573199999995</v>
      </c>
      <c r="F603" s="97">
        <v>6786.5150000000003</v>
      </c>
      <c r="G603" s="436"/>
      <c r="H603" s="437"/>
      <c r="I603" s="437"/>
      <c r="J603" s="437"/>
      <c r="K603" s="320">
        <v>425</v>
      </c>
      <c r="L603" s="320">
        <v>4111</v>
      </c>
      <c r="M603" s="437"/>
      <c r="N603" s="196">
        <v>44749</v>
      </c>
      <c r="O603">
        <v>18032.030549999989</v>
      </c>
      <c r="P603">
        <v>6800.1809999999996</v>
      </c>
      <c r="Q603">
        <v>7594.32935</v>
      </c>
      <c r="R603">
        <v>9247.1641999999993</v>
      </c>
    </row>
    <row r="604" spans="1:18" x14ac:dyDescent="0.25">
      <c r="A604" t="s">
        <v>256</v>
      </c>
      <c r="B604" s="96">
        <v>44694</v>
      </c>
      <c r="C604" s="10">
        <v>7091.5679010000013</v>
      </c>
      <c r="D604" s="10">
        <v>10837.9079</v>
      </c>
      <c r="E604" s="10">
        <v>17524.754700000001</v>
      </c>
      <c r="F604" s="10">
        <v>6795.5079999999998</v>
      </c>
      <c r="G604" s="436"/>
      <c r="H604" s="437"/>
      <c r="I604" s="437"/>
      <c r="J604" s="437"/>
      <c r="K604" s="320">
        <v>425</v>
      </c>
      <c r="L604" s="320">
        <v>3692</v>
      </c>
      <c r="M604" s="437"/>
      <c r="N604" s="196">
        <v>44750</v>
      </c>
      <c r="O604">
        <v>17424.343349999988</v>
      </c>
      <c r="P604">
        <v>7087.1819999999998</v>
      </c>
      <c r="Q604">
        <v>7241.2570500000029</v>
      </c>
      <c r="R604">
        <v>9332.738199999998</v>
      </c>
    </row>
    <row r="605" spans="1:18" x14ac:dyDescent="0.25">
      <c r="A605" t="s">
        <v>256</v>
      </c>
      <c r="B605" s="96">
        <v>44698</v>
      </c>
      <c r="C605" s="97">
        <v>6598.7515009999997</v>
      </c>
      <c r="D605" s="435">
        <v>10512.1289</v>
      </c>
      <c r="E605" s="435">
        <v>17315.385399999988</v>
      </c>
      <c r="F605" s="97">
        <v>6870.1180000000004</v>
      </c>
      <c r="G605" s="436"/>
      <c r="H605" s="437"/>
      <c r="I605" s="437"/>
      <c r="J605" s="437"/>
      <c r="K605" s="320">
        <v>476</v>
      </c>
      <c r="L605" s="320">
        <v>3675</v>
      </c>
      <c r="M605" s="437"/>
      <c r="N605" s="196">
        <v>44753</v>
      </c>
      <c r="O605">
        <v>18032.030549999989</v>
      </c>
      <c r="P605">
        <v>6800.1809999999996</v>
      </c>
      <c r="Q605">
        <v>7594.32935</v>
      </c>
      <c r="R605">
        <v>9247.1641999999993</v>
      </c>
    </row>
    <row r="606" spans="1:18" x14ac:dyDescent="0.25">
      <c r="A606" t="s">
        <v>256</v>
      </c>
      <c r="B606" s="96">
        <v>44699</v>
      </c>
      <c r="C606" s="10">
        <v>6643.1971510000012</v>
      </c>
      <c r="D606" s="10">
        <v>10714.545900000001</v>
      </c>
      <c r="E606" s="10">
        <v>17671.122399999986</v>
      </c>
      <c r="F606" s="10">
        <v>7157.7309999999998</v>
      </c>
      <c r="G606" s="436"/>
      <c r="H606" s="437"/>
      <c r="I606" s="437"/>
      <c r="J606" s="437"/>
      <c r="K606" s="320">
        <v>569</v>
      </c>
      <c r="L606" s="320">
        <v>3819</v>
      </c>
      <c r="M606" s="437"/>
      <c r="N606" s="196">
        <v>44754</v>
      </c>
      <c r="O606">
        <v>16697.927449999985</v>
      </c>
      <c r="P606">
        <v>7236.1329999999998</v>
      </c>
      <c r="Q606">
        <v>6565.5348500000009</v>
      </c>
      <c r="R606">
        <v>8638.7540000000008</v>
      </c>
    </row>
    <row r="607" spans="1:18" x14ac:dyDescent="0.25">
      <c r="A607" t="s">
        <v>256</v>
      </c>
      <c r="B607" s="96">
        <v>44701</v>
      </c>
      <c r="C607" s="10">
        <v>6645.7397009999995</v>
      </c>
      <c r="D607" s="10">
        <v>10726.319900000004</v>
      </c>
      <c r="E607" s="10">
        <v>17244.604899999984</v>
      </c>
      <c r="F607" s="10">
        <v>7338.8440000000001</v>
      </c>
      <c r="G607" s="436"/>
      <c r="H607" s="437"/>
      <c r="I607" s="437"/>
      <c r="J607" s="437"/>
      <c r="K607" s="320">
        <v>566</v>
      </c>
      <c r="L607" s="320">
        <v>4090</v>
      </c>
      <c r="M607" s="437"/>
      <c r="N607" s="196">
        <v>44756</v>
      </c>
      <c r="O607">
        <v>16241.971649999989</v>
      </c>
      <c r="P607">
        <v>7432.3509999999997</v>
      </c>
      <c r="Q607">
        <v>6365.4121659999983</v>
      </c>
      <c r="R607">
        <v>8822.2498999999989</v>
      </c>
    </row>
    <row r="608" spans="1:18" x14ac:dyDescent="0.25">
      <c r="A608" t="s">
        <v>256</v>
      </c>
      <c r="B608" s="96">
        <v>44704</v>
      </c>
      <c r="C608" s="10">
        <v>6834.9174428999986</v>
      </c>
      <c r="D608" s="10">
        <v>10514.265900000002</v>
      </c>
      <c r="E608" s="10">
        <v>16716.785999999986</v>
      </c>
      <c r="F608" s="10">
        <v>7027.9859999999999</v>
      </c>
      <c r="G608" s="99"/>
      <c r="H608" s="122"/>
      <c r="I608" s="122"/>
      <c r="J608" s="122"/>
      <c r="K608" s="320">
        <v>547</v>
      </c>
      <c r="L608" s="320">
        <v>3841</v>
      </c>
      <c r="M608" s="122"/>
      <c r="N608" s="196">
        <v>44757</v>
      </c>
      <c r="O608">
        <v>17201.614549999984</v>
      </c>
      <c r="P608">
        <v>7381.8289999999997</v>
      </c>
      <c r="Q608">
        <v>6268.7707659999996</v>
      </c>
      <c r="R608">
        <v>8747.313900000001</v>
      </c>
    </row>
    <row r="609" spans="1:18" x14ac:dyDescent="0.25">
      <c r="A609" t="s">
        <v>256</v>
      </c>
      <c r="B609" s="96">
        <v>44705</v>
      </c>
      <c r="C609" s="312">
        <v>6723.4221955000003</v>
      </c>
      <c r="D609" s="438">
        <v>10742.093699999999</v>
      </c>
      <c r="E609" s="438">
        <v>16860.318799999983</v>
      </c>
      <c r="F609" s="312">
        <v>7115.7909999999993</v>
      </c>
      <c r="G609" s="436"/>
      <c r="H609" s="437"/>
      <c r="I609" s="437"/>
      <c r="J609" s="437"/>
      <c r="K609" s="320">
        <v>547</v>
      </c>
      <c r="L609" s="320">
        <v>4006</v>
      </c>
      <c r="M609" s="437"/>
      <c r="N609" s="196">
        <v>44760</v>
      </c>
      <c r="O609">
        <v>16106.787549999994</v>
      </c>
      <c r="P609">
        <v>7063.7489999999998</v>
      </c>
      <c r="Q609">
        <v>6323.4500660000003</v>
      </c>
      <c r="R609">
        <v>8845.7389999999996</v>
      </c>
    </row>
    <row r="610" spans="1:18" x14ac:dyDescent="0.25">
      <c r="A610" t="s">
        <v>256</v>
      </c>
      <c r="B610" s="96">
        <v>44706</v>
      </c>
      <c r="C610" s="312">
        <v>6911.8936089999997</v>
      </c>
      <c r="D610" s="312">
        <v>10866.8477</v>
      </c>
      <c r="E610" s="312">
        <v>16705.573799999984</v>
      </c>
      <c r="F610" s="312">
        <v>7058.771999999999</v>
      </c>
      <c r="G610" s="99"/>
      <c r="H610" s="122"/>
      <c r="I610" s="122"/>
      <c r="J610" s="122"/>
      <c r="K610" s="320">
        <v>588</v>
      </c>
      <c r="L610" s="320">
        <v>4219</v>
      </c>
      <c r="M610" s="122"/>
      <c r="N610" s="196">
        <v>44761</v>
      </c>
      <c r="O610">
        <v>15872.608549999992</v>
      </c>
      <c r="P610">
        <v>6982.3239999999996</v>
      </c>
      <c r="Q610">
        <v>6323.4500660000022</v>
      </c>
      <c r="R610">
        <v>8951.9709999999995</v>
      </c>
    </row>
    <row r="611" spans="1:18" x14ac:dyDescent="0.25">
      <c r="A611" t="s">
        <v>256</v>
      </c>
      <c r="B611" s="96">
        <v>44707</v>
      </c>
      <c r="C611" s="314">
        <v>6872.2493090000007</v>
      </c>
      <c r="D611" s="314">
        <v>10811.572700000001</v>
      </c>
      <c r="E611" s="314">
        <v>16638.291699999991</v>
      </c>
      <c r="F611" s="314">
        <v>7048.277</v>
      </c>
      <c r="G611" s="436"/>
      <c r="H611" s="437"/>
      <c r="I611" s="437"/>
      <c r="J611" s="437"/>
      <c r="K611" s="320">
        <v>588</v>
      </c>
      <c r="L611" s="320">
        <v>4277</v>
      </c>
      <c r="M611" s="437"/>
      <c r="N611" s="196">
        <v>44762</v>
      </c>
      <c r="O611">
        <v>16047.048099999998</v>
      </c>
      <c r="P611">
        <v>7082.7349999999997</v>
      </c>
      <c r="Q611">
        <v>6234.6795726000018</v>
      </c>
      <c r="R611">
        <v>9205.273900000002</v>
      </c>
    </row>
    <row r="612" spans="1:18" x14ac:dyDescent="0.25">
      <c r="A612" t="s">
        <v>256</v>
      </c>
      <c r="B612" s="96">
        <v>44708</v>
      </c>
      <c r="C612" s="312">
        <v>6854.0741947000006</v>
      </c>
      <c r="D612" s="438">
        <v>10716.1759</v>
      </c>
      <c r="E612" s="438">
        <v>16612.503499999984</v>
      </c>
      <c r="F612" s="312">
        <v>7066.8599999999988</v>
      </c>
      <c r="G612" s="436"/>
      <c r="H612" s="437"/>
      <c r="I612" s="437"/>
      <c r="J612" s="437"/>
      <c r="K612" s="320">
        <v>437</v>
      </c>
      <c r="L612" s="320">
        <v>4040</v>
      </c>
      <c r="M612" s="437"/>
      <c r="N612" s="196">
        <v>44763</v>
      </c>
      <c r="O612">
        <v>15798.015599999992</v>
      </c>
      <c r="P612">
        <v>7140.8440000000001</v>
      </c>
      <c r="Q612">
        <v>6217.5195726000011</v>
      </c>
      <c r="R612">
        <v>9292.0298999999995</v>
      </c>
    </row>
    <row r="613" spans="1:18" x14ac:dyDescent="0.25">
      <c r="A613" t="s">
        <v>256</v>
      </c>
      <c r="B613" s="96">
        <v>44711</v>
      </c>
      <c r="C613" s="312">
        <v>6745.2140852000002</v>
      </c>
      <c r="D613" s="312">
        <v>10592.8729</v>
      </c>
      <c r="E613" s="312">
        <v>16279.925499999994</v>
      </c>
      <c r="F613" s="312">
        <v>6802.0370000000003</v>
      </c>
      <c r="G613" s="99"/>
      <c r="H613" s="122"/>
      <c r="I613" s="122"/>
      <c r="J613" s="122"/>
      <c r="K613" s="320">
        <v>408</v>
      </c>
      <c r="L613" s="320">
        <v>4057</v>
      </c>
      <c r="M613" s="122"/>
      <c r="N613" s="196">
        <v>44764</v>
      </c>
      <c r="O613">
        <v>15734.979899999989</v>
      </c>
      <c r="P613">
        <v>7197.1869999999999</v>
      </c>
      <c r="Q613">
        <v>6156.184855999998</v>
      </c>
      <c r="R613">
        <v>9225.4868999999981</v>
      </c>
    </row>
    <row r="614" spans="1:18" x14ac:dyDescent="0.25">
      <c r="A614" t="s">
        <v>256</v>
      </c>
      <c r="B614" s="96">
        <v>44712</v>
      </c>
      <c r="C614" s="312">
        <v>6304.1551851999993</v>
      </c>
      <c r="D614" s="438">
        <v>10525.623799999999</v>
      </c>
      <c r="E614" s="438">
        <v>16083.991199999997</v>
      </c>
      <c r="F614" s="312">
        <v>6980.4350000000004</v>
      </c>
      <c r="G614" s="436"/>
      <c r="H614" s="437"/>
      <c r="I614" s="437"/>
      <c r="J614" s="437"/>
      <c r="K614" s="320">
        <v>439</v>
      </c>
      <c r="L614" s="320">
        <v>4331</v>
      </c>
      <c r="M614" s="437"/>
      <c r="N614" s="196">
        <v>44767</v>
      </c>
      <c r="O614">
        <v>15435.077400000002</v>
      </c>
      <c r="P614">
        <v>7298.4269999999997</v>
      </c>
      <c r="Q614">
        <v>6099.7400813000013</v>
      </c>
      <c r="R614">
        <v>8825.905999999999</v>
      </c>
    </row>
    <row r="615" spans="1:18" x14ac:dyDescent="0.25">
      <c r="A615" t="s">
        <v>258</v>
      </c>
      <c r="B615" s="96">
        <v>44713</v>
      </c>
      <c r="C615" s="312">
        <v>6105.2605329999988</v>
      </c>
      <c r="D615" s="438">
        <v>10373.286900000001</v>
      </c>
      <c r="E615" s="438">
        <v>15904.279499999981</v>
      </c>
      <c r="F615" s="312">
        <v>6983.4409999999998</v>
      </c>
      <c r="G615" s="436"/>
      <c r="H615" s="437"/>
      <c r="I615" s="437"/>
      <c r="J615" s="437"/>
      <c r="K615" s="320">
        <v>440</v>
      </c>
      <c r="L615" s="320">
        <v>4048</v>
      </c>
      <c r="M615" s="437"/>
      <c r="N615" s="196">
        <v>44768</v>
      </c>
      <c r="O615">
        <v>15334.059599999999</v>
      </c>
      <c r="P615">
        <v>7552.3770000000004</v>
      </c>
      <c r="Q615">
        <v>6099.1174759999994</v>
      </c>
      <c r="R615">
        <v>8417.764000000001</v>
      </c>
    </row>
    <row r="616" spans="1:18" x14ac:dyDescent="0.25">
      <c r="A616" t="s">
        <v>258</v>
      </c>
      <c r="B616" s="96">
        <v>44714</v>
      </c>
      <c r="C616" s="314">
        <v>5962.5777851000003</v>
      </c>
      <c r="D616" s="314">
        <v>10378.780900000002</v>
      </c>
      <c r="E616" s="314">
        <v>15908.802899999986</v>
      </c>
      <c r="F616" s="314">
        <v>7226.5450000000001</v>
      </c>
      <c r="G616" s="436"/>
      <c r="H616" s="437"/>
      <c r="I616" s="437"/>
      <c r="J616" s="437"/>
      <c r="K616" s="439">
        <v>441</v>
      </c>
      <c r="L616" s="439">
        <v>4359</v>
      </c>
      <c r="M616" s="437"/>
      <c r="N616" s="196">
        <v>44769</v>
      </c>
      <c r="O616">
        <v>15426.221299999999</v>
      </c>
      <c r="P616">
        <v>7645.2359999999999</v>
      </c>
      <c r="Q616">
        <v>6034.2606759999999</v>
      </c>
      <c r="R616">
        <v>8731</v>
      </c>
    </row>
    <row r="617" spans="1:18" x14ac:dyDescent="0.25">
      <c r="A617" t="s">
        <v>258</v>
      </c>
      <c r="B617" s="96">
        <v>44715</v>
      </c>
      <c r="C617" s="312">
        <v>6055.0325299999995</v>
      </c>
      <c r="D617" s="438">
        <v>10364.992099999998</v>
      </c>
      <c r="E617" s="438">
        <v>15919.962799999979</v>
      </c>
      <c r="F617" s="312">
        <v>7302.6930000000002</v>
      </c>
      <c r="G617" s="436"/>
      <c r="H617" s="437"/>
      <c r="I617" s="437"/>
      <c r="J617" s="437"/>
      <c r="K617" s="439">
        <v>440</v>
      </c>
      <c r="L617" s="439">
        <v>3917</v>
      </c>
      <c r="M617" s="437"/>
      <c r="N617" s="196">
        <v>44770</v>
      </c>
      <c r="O617">
        <v>15302.587249999991</v>
      </c>
      <c r="P617">
        <v>7608.3159999999998</v>
      </c>
      <c r="Q617">
        <v>5872.2964880999998</v>
      </c>
      <c r="R617">
        <v>8765.8670000000002</v>
      </c>
    </row>
    <row r="618" spans="1:18" x14ac:dyDescent="0.25">
      <c r="A618" t="s">
        <v>258</v>
      </c>
      <c r="B618" s="96">
        <v>44718</v>
      </c>
      <c r="C618" s="312">
        <v>5993.0398299999997</v>
      </c>
      <c r="D618" s="312">
        <v>9903.0781000000006</v>
      </c>
      <c r="E618" s="312">
        <v>16049.543400000002</v>
      </c>
      <c r="F618" s="312">
        <v>7127.9480000000003</v>
      </c>
      <c r="G618" s="99"/>
      <c r="H618" s="122"/>
      <c r="I618" s="122"/>
      <c r="J618" s="122"/>
      <c r="K618" s="321">
        <v>329</v>
      </c>
      <c r="L618" s="321">
        <v>3728</v>
      </c>
      <c r="M618" s="122"/>
      <c r="N618" s="196">
        <v>44771</v>
      </c>
      <c r="O618">
        <v>15375.083499999993</v>
      </c>
      <c r="P618">
        <v>7433.192</v>
      </c>
      <c r="Q618">
        <v>5707.3804430000009</v>
      </c>
      <c r="R618">
        <v>8821.0709000000006</v>
      </c>
    </row>
    <row r="619" spans="1:18" x14ac:dyDescent="0.25">
      <c r="A619" t="s">
        <v>258</v>
      </c>
      <c r="B619" s="96">
        <v>44719</v>
      </c>
      <c r="C619" s="312">
        <v>6028.5334300000004</v>
      </c>
      <c r="D619" s="438">
        <v>9940.9421999999977</v>
      </c>
      <c r="E619" s="438">
        <v>16515.0141</v>
      </c>
      <c r="F619" s="312">
        <v>7259.03</v>
      </c>
      <c r="G619" s="436"/>
      <c r="H619" s="437"/>
      <c r="I619" s="437"/>
      <c r="J619" s="437"/>
      <c r="K619" s="439">
        <v>329</v>
      </c>
      <c r="L619" s="439">
        <v>4015</v>
      </c>
      <c r="M619" s="437"/>
      <c r="N619" s="196">
        <v>44774</v>
      </c>
      <c r="O619">
        <v>15572.845900000002</v>
      </c>
      <c r="P619">
        <v>7362.6949999999997</v>
      </c>
      <c r="Q619">
        <v>5864.8388430000005</v>
      </c>
      <c r="R619">
        <v>8678.4890000000014</v>
      </c>
    </row>
    <row r="620" spans="1:18" x14ac:dyDescent="0.25">
      <c r="A620" t="s">
        <v>258</v>
      </c>
      <c r="B620" s="96">
        <v>44720</v>
      </c>
      <c r="C620" s="312">
        <v>5875.6177799999996</v>
      </c>
      <c r="D620" s="438">
        <v>10017.888199999996</v>
      </c>
      <c r="E620" s="438">
        <v>16599.591099999998</v>
      </c>
      <c r="F620" s="312">
        <v>7252.6660000000002</v>
      </c>
      <c r="G620" s="436"/>
      <c r="H620" s="437"/>
      <c r="I620" s="437"/>
      <c r="J620" s="437"/>
      <c r="K620" s="439">
        <v>306</v>
      </c>
      <c r="L620" s="439">
        <v>3917</v>
      </c>
      <c r="M620" s="437"/>
      <c r="N620" s="196">
        <v>44775</v>
      </c>
      <c r="O620">
        <v>15226.638899999996</v>
      </c>
      <c r="P620">
        <v>7326.9449999999997</v>
      </c>
      <c r="Q620">
        <v>5864.7408430000014</v>
      </c>
      <c r="R620">
        <v>8707.3169999999991</v>
      </c>
    </row>
    <row r="621" spans="1:18" x14ac:dyDescent="0.25">
      <c r="A621" t="s">
        <v>258</v>
      </c>
      <c r="B621" s="96">
        <v>44721</v>
      </c>
      <c r="C621" s="312">
        <v>5800.8410800000001</v>
      </c>
      <c r="D621" s="438">
        <v>10160.209200000003</v>
      </c>
      <c r="E621" s="438">
        <v>16705.490899999993</v>
      </c>
      <c r="F621" s="312">
        <v>7245.598</v>
      </c>
      <c r="G621" s="436"/>
      <c r="H621" s="437"/>
      <c r="I621" s="437"/>
      <c r="J621" s="437"/>
      <c r="K621" s="439">
        <v>328</v>
      </c>
      <c r="L621" s="439">
        <v>4034</v>
      </c>
      <c r="M621" s="437"/>
      <c r="N621" s="196">
        <v>44776</v>
      </c>
      <c r="O621">
        <v>15487.296049999988</v>
      </c>
      <c r="P621">
        <v>7458.2659999999996</v>
      </c>
      <c r="Q621">
        <v>5824.4886447000008</v>
      </c>
      <c r="R621">
        <v>8733.2560000000012</v>
      </c>
    </row>
    <row r="622" spans="1:18" x14ac:dyDescent="0.25">
      <c r="A622" t="s">
        <v>258</v>
      </c>
      <c r="B622" s="96">
        <v>44722</v>
      </c>
      <c r="C622" s="312">
        <v>5771.9132799999998</v>
      </c>
      <c r="D622" s="438">
        <v>10196.716200000003</v>
      </c>
      <c r="E622" s="438">
        <v>16710.782999999999</v>
      </c>
      <c r="F622" s="312">
        <v>7169.7120000000004</v>
      </c>
      <c r="G622" s="436"/>
      <c r="H622" s="437"/>
      <c r="I622" s="437"/>
      <c r="J622" s="437"/>
      <c r="K622" s="439">
        <v>305</v>
      </c>
      <c r="L622" s="439">
        <v>3695</v>
      </c>
      <c r="M622" s="437"/>
      <c r="N622" s="196">
        <v>44777</v>
      </c>
      <c r="O622">
        <v>14998.620749999991</v>
      </c>
      <c r="P622">
        <v>7463.6750000000002</v>
      </c>
      <c r="Q622">
        <v>5805.7190000000001</v>
      </c>
      <c r="R622">
        <v>8544.2345000000005</v>
      </c>
    </row>
    <row r="623" spans="1:18" x14ac:dyDescent="0.25">
      <c r="A623" t="s">
        <v>258</v>
      </c>
      <c r="B623" s="96">
        <v>44725</v>
      </c>
      <c r="C623" s="314">
        <v>5950.0186799999992</v>
      </c>
      <c r="D623" s="314">
        <v>9782.7732000000015</v>
      </c>
      <c r="E623" s="314">
        <v>16274.185600000006</v>
      </c>
      <c r="F623" s="314">
        <v>7099.6959999999999</v>
      </c>
      <c r="G623" s="99"/>
      <c r="H623" s="122"/>
      <c r="I623" s="122"/>
      <c r="J623" s="122"/>
      <c r="K623" s="321">
        <v>278</v>
      </c>
      <c r="L623" s="321">
        <v>3622</v>
      </c>
      <c r="M623" s="122"/>
      <c r="N623" s="196">
        <v>44778</v>
      </c>
      <c r="O623">
        <v>14810.987250000004</v>
      </c>
      <c r="P623">
        <v>7517.5950000000003</v>
      </c>
      <c r="Q623">
        <v>5149.6572099999994</v>
      </c>
      <c r="R623">
        <v>8493.2338999999993</v>
      </c>
    </row>
    <row r="624" spans="1:18" x14ac:dyDescent="0.25">
      <c r="A624" t="s">
        <v>258</v>
      </c>
      <c r="B624" s="96">
        <v>44727</v>
      </c>
      <c r="C624" s="314">
        <v>5913.2050799999979</v>
      </c>
      <c r="D624" s="314">
        <v>9818.6592000000037</v>
      </c>
      <c r="E624" s="314">
        <v>16015.296300000005</v>
      </c>
      <c r="F624" s="314">
        <v>7015.0779999999995</v>
      </c>
      <c r="G624" s="436"/>
      <c r="H624" s="437"/>
      <c r="I624" s="437"/>
      <c r="J624" s="437"/>
      <c r="K624" s="439">
        <v>202</v>
      </c>
      <c r="L624" s="439">
        <v>3542</v>
      </c>
      <c r="M624" s="437"/>
      <c r="N624" s="196">
        <v>44781</v>
      </c>
      <c r="O624">
        <v>14177.244050000005</v>
      </c>
      <c r="P624">
        <v>7575.9549999999999</v>
      </c>
      <c r="Q624">
        <v>5032.3258500000002</v>
      </c>
      <c r="R624">
        <v>8591.0430000000015</v>
      </c>
    </row>
    <row r="625" spans="1:18" ht="15.75" customHeight="1" x14ac:dyDescent="0.25">
      <c r="A625" t="s">
        <v>258</v>
      </c>
      <c r="B625" s="11">
        <v>44728</v>
      </c>
      <c r="C625" s="314">
        <v>5847.1715451</v>
      </c>
      <c r="D625" s="440">
        <v>9870.4832000000024</v>
      </c>
      <c r="E625" s="440">
        <v>16176.6818</v>
      </c>
      <c r="F625" s="314">
        <v>7101.3089999999993</v>
      </c>
      <c r="G625" s="441"/>
      <c r="H625" s="437"/>
      <c r="I625" s="437"/>
      <c r="K625" s="321">
        <v>202</v>
      </c>
      <c r="L625" s="321">
        <v>3648</v>
      </c>
      <c r="N625" s="196">
        <v>44782</v>
      </c>
      <c r="O625">
        <v>14245.983150000009</v>
      </c>
      <c r="P625">
        <v>7692.1880000000001</v>
      </c>
      <c r="Q625">
        <v>5030.2896500000006</v>
      </c>
      <c r="R625">
        <v>8759.0649999999987</v>
      </c>
    </row>
    <row r="626" spans="1:18" x14ac:dyDescent="0.25">
      <c r="A626" t="s">
        <v>258</v>
      </c>
      <c r="B626" s="11">
        <v>44729</v>
      </c>
      <c r="C626" s="314">
        <v>5703.4076109999996</v>
      </c>
      <c r="D626" s="314">
        <v>9855.7942000000003</v>
      </c>
      <c r="E626" s="314">
        <v>16214.721900000004</v>
      </c>
      <c r="F626" s="314">
        <v>7211.0919999999996</v>
      </c>
      <c r="G626" s="441"/>
      <c r="H626" s="437"/>
      <c r="I626" s="437"/>
      <c r="K626" s="321">
        <v>202</v>
      </c>
      <c r="L626" s="321">
        <v>3686</v>
      </c>
      <c r="N626" s="196">
        <v>44783</v>
      </c>
      <c r="O626">
        <v>14412.517000000005</v>
      </c>
      <c r="P626">
        <v>7853.268</v>
      </c>
      <c r="Q626">
        <v>5078.6867834000004</v>
      </c>
      <c r="R626">
        <v>8872.7168999999976</v>
      </c>
    </row>
    <row r="627" spans="1:18" x14ac:dyDescent="0.25">
      <c r="A627" t="s">
        <v>258</v>
      </c>
      <c r="B627" s="11">
        <v>44732</v>
      </c>
      <c r="C627" s="314">
        <v>5678.5679880000007</v>
      </c>
      <c r="D627" s="314">
        <v>9467.5071999999982</v>
      </c>
      <c r="E627" s="314">
        <v>15479.774300000005</v>
      </c>
      <c r="F627" s="314">
        <v>7089.7759999999998</v>
      </c>
      <c r="G627" s="436"/>
      <c r="H627" s="437"/>
      <c r="I627" s="437"/>
      <c r="K627" s="321">
        <v>202</v>
      </c>
      <c r="L627" s="321">
        <v>3530</v>
      </c>
      <c r="N627" s="196">
        <v>44788</v>
      </c>
      <c r="O627">
        <v>14255.263400000005</v>
      </c>
      <c r="P627">
        <v>8024.7860000000001</v>
      </c>
      <c r="Q627">
        <v>5014.6393320000006</v>
      </c>
      <c r="R627">
        <v>8998.7358999999997</v>
      </c>
    </row>
    <row r="628" spans="1:18" x14ac:dyDescent="0.25">
      <c r="A628" t="s">
        <v>258</v>
      </c>
      <c r="B628" s="11">
        <v>44733</v>
      </c>
      <c r="C628" s="312">
        <v>5856.7951880000001</v>
      </c>
      <c r="D628" s="438">
        <v>9618.7842000000001</v>
      </c>
      <c r="E628" s="438">
        <v>15550.003900000003</v>
      </c>
      <c r="F628" s="312">
        <v>7195.6220000000003</v>
      </c>
      <c r="G628" s="436"/>
      <c r="H628" s="437"/>
      <c r="I628" s="437"/>
      <c r="K628" s="321">
        <v>201</v>
      </c>
      <c r="L628" s="321">
        <v>3854</v>
      </c>
      <c r="N628" s="196">
        <v>44789</v>
      </c>
      <c r="O628">
        <v>14382.347900000002</v>
      </c>
      <c r="P628">
        <v>8121.9570000000003</v>
      </c>
      <c r="Q628">
        <v>4977.3452319999997</v>
      </c>
      <c r="R628">
        <v>9260.5608999999986</v>
      </c>
    </row>
    <row r="629" spans="1:18" x14ac:dyDescent="0.25">
      <c r="A629" t="s">
        <v>258</v>
      </c>
      <c r="B629" s="11">
        <v>44734</v>
      </c>
      <c r="C629" s="312">
        <v>6132.4315699999997</v>
      </c>
      <c r="D629" s="438">
        <v>9583.8271999999997</v>
      </c>
      <c r="E629" s="438">
        <v>15817.739500000003</v>
      </c>
      <c r="F629" s="312">
        <v>7235.0249999999996</v>
      </c>
      <c r="G629" s="436"/>
      <c r="H629" s="437"/>
      <c r="I629" s="437"/>
      <c r="K629" s="321">
        <v>201</v>
      </c>
      <c r="L629" s="321">
        <v>3679</v>
      </c>
      <c r="N629" s="196">
        <v>44790</v>
      </c>
      <c r="O629">
        <v>14252.435500000001</v>
      </c>
      <c r="P629">
        <v>8048.1029999999992</v>
      </c>
      <c r="Q629">
        <v>4992.9897820000006</v>
      </c>
      <c r="R629">
        <v>9197.7329000000009</v>
      </c>
    </row>
    <row r="630" spans="1:18" x14ac:dyDescent="0.25">
      <c r="A630" t="s">
        <v>258</v>
      </c>
      <c r="B630" s="11">
        <v>44735</v>
      </c>
      <c r="C630" s="312">
        <v>6227.4635700000017</v>
      </c>
      <c r="D630" s="438">
        <v>9703.7672000000002</v>
      </c>
      <c r="E630" s="438">
        <v>15353.139800000006</v>
      </c>
      <c r="F630" s="312">
        <v>7368.7380000000003</v>
      </c>
      <c r="G630" s="436"/>
      <c r="H630" s="437"/>
      <c r="I630" s="437"/>
      <c r="K630" s="321">
        <v>201</v>
      </c>
      <c r="L630" s="321">
        <v>3779</v>
      </c>
      <c r="N630" s="196">
        <v>44791</v>
      </c>
      <c r="O630">
        <v>14555.194199999998</v>
      </c>
      <c r="P630">
        <v>8067.2279999999992</v>
      </c>
      <c r="Q630">
        <v>5115.4573120000005</v>
      </c>
      <c r="R630">
        <v>9149.5169000000005</v>
      </c>
    </row>
    <row r="631" spans="1:18" x14ac:dyDescent="0.25">
      <c r="A631" t="s">
        <v>258</v>
      </c>
      <c r="B631" s="11">
        <v>44739</v>
      </c>
      <c r="C631" s="312">
        <v>6439.25227</v>
      </c>
      <c r="D631" s="312">
        <v>9636.881199999998</v>
      </c>
      <c r="E631" s="312">
        <v>14930.389300000003</v>
      </c>
      <c r="F631" s="312">
        <v>7350.4570000000003</v>
      </c>
      <c r="G631" s="99"/>
      <c r="H631" s="122"/>
      <c r="I631" s="122"/>
      <c r="K631" s="321">
        <v>251</v>
      </c>
      <c r="L631" s="321">
        <v>3673</v>
      </c>
      <c r="N631" s="196">
        <v>44792</v>
      </c>
      <c r="O631">
        <v>14660.986100000007</v>
      </c>
      <c r="P631">
        <v>8173.1170000000002</v>
      </c>
      <c r="Q631">
        <v>5388.6489619999993</v>
      </c>
      <c r="R631">
        <v>9179.9079000000002</v>
      </c>
    </row>
    <row r="632" spans="1:18" x14ac:dyDescent="0.25">
      <c r="A632" t="s">
        <v>258</v>
      </c>
      <c r="B632" s="11">
        <v>44740</v>
      </c>
      <c r="C632" s="312">
        <v>6439.8422873000009</v>
      </c>
      <c r="D632" s="312">
        <v>9274.5891999999985</v>
      </c>
      <c r="E632" s="312">
        <v>14447.490850000004</v>
      </c>
      <c r="F632" s="312">
        <v>7272.6570000000011</v>
      </c>
      <c r="G632" s="99"/>
      <c r="H632" s="122"/>
      <c r="I632" s="122"/>
      <c r="K632" s="321">
        <v>251</v>
      </c>
      <c r="L632" s="321">
        <v>3432</v>
      </c>
      <c r="N632" s="196">
        <v>44795</v>
      </c>
      <c r="O632">
        <v>13603.230600000001</v>
      </c>
      <c r="P632">
        <v>8211.39</v>
      </c>
      <c r="Q632">
        <v>5211.9663007000017</v>
      </c>
      <c r="R632">
        <v>9001.1018999999997</v>
      </c>
    </row>
    <row r="633" spans="1:18" x14ac:dyDescent="0.25">
      <c r="A633" t="s">
        <v>258</v>
      </c>
      <c r="B633" s="11">
        <v>44741</v>
      </c>
      <c r="C633" s="312">
        <v>6375.4258873000008</v>
      </c>
      <c r="D633" s="438">
        <v>9448.7071999999989</v>
      </c>
      <c r="E633" s="438">
        <v>14912.773850000007</v>
      </c>
      <c r="F633" s="312">
        <v>7555.764000000001</v>
      </c>
      <c r="G633" s="436"/>
      <c r="H633" s="437"/>
      <c r="I633" s="437"/>
      <c r="K633" s="321">
        <v>251</v>
      </c>
      <c r="L633" s="321">
        <v>3715</v>
      </c>
      <c r="N633" s="196">
        <v>44796</v>
      </c>
      <c r="O633">
        <v>13725.270500000002</v>
      </c>
      <c r="P633">
        <v>8308.2999999999993</v>
      </c>
      <c r="Q633">
        <v>5296.247685600003</v>
      </c>
      <c r="R633">
        <v>9265.0699000000004</v>
      </c>
    </row>
    <row r="634" spans="1:18" x14ac:dyDescent="0.25">
      <c r="A634" t="s">
        <v>258</v>
      </c>
      <c r="B634" s="11">
        <v>44742</v>
      </c>
      <c r="C634" s="312">
        <v>6664.6686661000012</v>
      </c>
      <c r="D634" s="438">
        <v>9542.2641999999978</v>
      </c>
      <c r="E634" s="438">
        <v>15927.367450000011</v>
      </c>
      <c r="F634" s="312">
        <v>7583.5959999999995</v>
      </c>
      <c r="G634" s="436"/>
      <c r="H634" s="437"/>
      <c r="I634" s="437"/>
      <c r="K634" s="321">
        <v>315</v>
      </c>
      <c r="L634" s="321">
        <v>3685</v>
      </c>
      <c r="N634" s="196">
        <v>44797</v>
      </c>
      <c r="O634">
        <v>13639.087500000001</v>
      </c>
      <c r="P634">
        <v>8310.9390000000003</v>
      </c>
      <c r="Q634">
        <v>5404.7697203999996</v>
      </c>
      <c r="R634">
        <v>9168.0228999999981</v>
      </c>
    </row>
    <row r="635" spans="1:18" x14ac:dyDescent="0.25">
      <c r="A635" t="s">
        <v>259</v>
      </c>
      <c r="B635" s="11">
        <v>44746</v>
      </c>
      <c r="C635" s="312">
        <v>7352.740490000002</v>
      </c>
      <c r="D635" s="438">
        <v>9503.8731999999982</v>
      </c>
      <c r="E635" s="438">
        <v>17714.587950000008</v>
      </c>
      <c r="F635" s="312">
        <v>7192.7950000000001</v>
      </c>
      <c r="G635" s="436"/>
      <c r="H635" s="437"/>
      <c r="I635" s="437"/>
      <c r="K635" s="321">
        <v>309</v>
      </c>
      <c r="L635" s="321">
        <v>3683</v>
      </c>
      <c r="N635" s="196">
        <v>44798</v>
      </c>
      <c r="O635">
        <v>13679.052100000006</v>
      </c>
      <c r="P635">
        <v>8142.2780000000012</v>
      </c>
      <c r="Q635">
        <v>5277.085320000002</v>
      </c>
      <c r="R635">
        <v>9052.6413999999986</v>
      </c>
    </row>
    <row r="636" spans="1:18" ht="22.5" customHeight="1" x14ac:dyDescent="0.25">
      <c r="A636" t="s">
        <v>259</v>
      </c>
      <c r="B636" s="11">
        <v>44747</v>
      </c>
      <c r="C636" s="312">
        <v>7403.1691900000023</v>
      </c>
      <c r="D636" s="438">
        <v>9379.0812000000005</v>
      </c>
      <c r="E636" s="438">
        <v>17489.783350000002</v>
      </c>
      <c r="F636" s="312">
        <v>6872.7109999999993</v>
      </c>
      <c r="G636" s="436"/>
      <c r="H636" s="437"/>
      <c r="I636" s="437"/>
      <c r="K636" s="7">
        <v>309</v>
      </c>
      <c r="L636" s="7">
        <v>3683</v>
      </c>
      <c r="N636" s="196">
        <v>44799</v>
      </c>
      <c r="O636">
        <v>13708</v>
      </c>
      <c r="P636">
        <v>8042</v>
      </c>
      <c r="Q636">
        <v>5273</v>
      </c>
      <c r="R636">
        <v>9015</v>
      </c>
    </row>
    <row r="637" spans="1:18" x14ac:dyDescent="0.25">
      <c r="A637" s="322" t="s">
        <v>259</v>
      </c>
      <c r="B637" s="11">
        <v>44748</v>
      </c>
      <c r="C637" s="314">
        <v>7626.3810900000017</v>
      </c>
      <c r="D637" s="314">
        <v>9379.0812000000005</v>
      </c>
      <c r="E637" s="314">
        <v>18075.940549999999</v>
      </c>
      <c r="F637" s="314">
        <v>6779.003999999999</v>
      </c>
      <c r="G637" s="99"/>
      <c r="H637" s="122"/>
      <c r="I637" s="122"/>
      <c r="K637" s="321">
        <v>318</v>
      </c>
      <c r="L637" s="321">
        <v>3382</v>
      </c>
      <c r="N637" s="196">
        <v>44802</v>
      </c>
      <c r="O637">
        <v>13477.094200000007</v>
      </c>
      <c r="P637">
        <v>8181.9070000000002</v>
      </c>
      <c r="Q637">
        <v>4879.8115200000011</v>
      </c>
      <c r="R637">
        <v>8891.5960000000014</v>
      </c>
    </row>
    <row r="638" spans="1:18" x14ac:dyDescent="0.25">
      <c r="A638" s="322" t="s">
        <v>259</v>
      </c>
      <c r="B638" s="11">
        <v>44749</v>
      </c>
      <c r="C638" s="314">
        <v>7594.32935</v>
      </c>
      <c r="D638" s="314">
        <v>9247.1641999999993</v>
      </c>
      <c r="E638" s="314">
        <v>18032.030549999989</v>
      </c>
      <c r="F638" s="314">
        <v>6800.1809999999996</v>
      </c>
      <c r="G638" s="99"/>
      <c r="H638" s="122"/>
      <c r="I638" s="122"/>
      <c r="K638" s="321">
        <v>318</v>
      </c>
      <c r="L638" s="321">
        <v>3714</v>
      </c>
      <c r="N638" s="196">
        <v>44803</v>
      </c>
      <c r="O638">
        <v>13524.797700000003</v>
      </c>
      <c r="P638">
        <v>8276.6560000000009</v>
      </c>
      <c r="Q638">
        <v>4746.0012200000001</v>
      </c>
      <c r="R638">
        <v>8999.2820000000011</v>
      </c>
    </row>
    <row r="639" spans="1:18" x14ac:dyDescent="0.25">
      <c r="A639" s="322" t="s">
        <v>259</v>
      </c>
      <c r="B639" s="11">
        <v>44750</v>
      </c>
      <c r="C639" s="314">
        <v>7241.2570500000029</v>
      </c>
      <c r="D639" s="314">
        <v>9332.738199999998</v>
      </c>
      <c r="E639" s="314">
        <v>17424.343349999988</v>
      </c>
      <c r="F639" s="314">
        <v>7087.1819999999998</v>
      </c>
      <c r="G639" s="436"/>
      <c r="H639" s="437"/>
      <c r="I639" s="437"/>
      <c r="K639" s="321">
        <v>417</v>
      </c>
      <c r="L639" s="321">
        <v>3626</v>
      </c>
      <c r="N639" s="196">
        <v>44804</v>
      </c>
      <c r="O639">
        <v>13593.508300000005</v>
      </c>
      <c r="P639">
        <v>8243.0920000000006</v>
      </c>
      <c r="Q639">
        <v>4592.6444605999986</v>
      </c>
      <c r="R639">
        <v>8849.8948999999975</v>
      </c>
    </row>
    <row r="640" spans="1:18" x14ac:dyDescent="0.25">
      <c r="A640" s="323" t="s">
        <v>259</v>
      </c>
      <c r="B640" s="96">
        <v>44753</v>
      </c>
      <c r="C640" s="312">
        <v>7594.32935</v>
      </c>
      <c r="D640" s="438">
        <v>9247.1641999999993</v>
      </c>
      <c r="E640" s="438">
        <v>18032.030549999989</v>
      </c>
      <c r="F640" s="312">
        <v>6800.1809999999996</v>
      </c>
      <c r="G640" s="436"/>
      <c r="H640" s="437"/>
      <c r="I640" s="437"/>
      <c r="K640" s="321">
        <v>417</v>
      </c>
      <c r="L640" s="321">
        <v>3375</v>
      </c>
      <c r="N640" s="196">
        <v>44805</v>
      </c>
      <c r="O640">
        <v>13660.574900000003</v>
      </c>
      <c r="P640">
        <v>8371.7289999999994</v>
      </c>
      <c r="Q640">
        <v>4374.8565859999999</v>
      </c>
      <c r="R640">
        <v>8710.3989000000001</v>
      </c>
    </row>
    <row r="641" spans="1:18" x14ac:dyDescent="0.25">
      <c r="A641" s="323" t="s">
        <v>259</v>
      </c>
      <c r="B641" s="96">
        <v>44754</v>
      </c>
      <c r="C641" s="312">
        <v>6565.5348500000009</v>
      </c>
      <c r="D641" s="312">
        <v>8638.7540000000008</v>
      </c>
      <c r="E641" s="312">
        <v>16697.927449999985</v>
      </c>
      <c r="F641" s="312">
        <v>7236.1329999999998</v>
      </c>
      <c r="G641" s="99"/>
      <c r="H641" s="122"/>
      <c r="I641" s="122"/>
      <c r="K641" s="10">
        <v>432.15995000001328</v>
      </c>
      <c r="L641" s="10">
        <v>3348.123</v>
      </c>
      <c r="N641" s="196">
        <v>44806</v>
      </c>
      <c r="O641">
        <v>14071</v>
      </c>
      <c r="P641">
        <v>8498.2389999999996</v>
      </c>
      <c r="Q641">
        <v>4425.4127860000008</v>
      </c>
      <c r="R641">
        <v>8999.2820000000011</v>
      </c>
    </row>
    <row r="642" spans="1:18" x14ac:dyDescent="0.25">
      <c r="A642" s="323" t="s">
        <v>259</v>
      </c>
      <c r="B642" s="96">
        <v>44756</v>
      </c>
      <c r="C642" s="312">
        <v>6365.4121659999983</v>
      </c>
      <c r="D642" s="438">
        <v>8822.2498999999989</v>
      </c>
      <c r="E642" s="438">
        <v>16241.971649999989</v>
      </c>
      <c r="F642" s="312">
        <v>7432.3509999999997</v>
      </c>
      <c r="G642" s="436"/>
      <c r="H642" s="437"/>
      <c r="I642" s="437"/>
      <c r="K642" s="10">
        <v>432.07105000001337</v>
      </c>
      <c r="L642" s="10">
        <v>3286.6930000000002</v>
      </c>
      <c r="N642" s="196">
        <v>44809</v>
      </c>
      <c r="O642">
        <v>14293.175799999997</v>
      </c>
      <c r="P642">
        <v>8127.3510000000006</v>
      </c>
      <c r="Q642">
        <v>4091.8415859999991</v>
      </c>
      <c r="R642">
        <v>8311.7839999999997</v>
      </c>
    </row>
    <row r="643" spans="1:18" x14ac:dyDescent="0.25">
      <c r="A643" s="323" t="s">
        <v>259</v>
      </c>
      <c r="B643" s="96">
        <v>44757</v>
      </c>
      <c r="C643" s="314">
        <v>6268.7707659999996</v>
      </c>
      <c r="D643" s="314">
        <v>8747.313900000001</v>
      </c>
      <c r="E643" s="314">
        <v>17201.614549999984</v>
      </c>
      <c r="F643" s="314">
        <v>7381.8289999999997</v>
      </c>
      <c r="G643" s="436"/>
      <c r="H643" s="437"/>
      <c r="I643" s="437"/>
      <c r="K643" s="321">
        <v>432</v>
      </c>
      <c r="L643" s="321">
        <v>3147</v>
      </c>
      <c r="N643" s="196">
        <v>44810</v>
      </c>
      <c r="O643">
        <v>14363.189200000001</v>
      </c>
      <c r="P643">
        <v>8291.0229999999992</v>
      </c>
      <c r="Q643">
        <v>4197.1976859999995</v>
      </c>
      <c r="R643">
        <v>8442.2289999999994</v>
      </c>
    </row>
    <row r="644" spans="1:18" x14ac:dyDescent="0.25">
      <c r="A644" s="323" t="s">
        <v>259</v>
      </c>
      <c r="B644" s="96">
        <v>44760</v>
      </c>
      <c r="C644" s="312">
        <v>6323.4500660000003</v>
      </c>
      <c r="D644" s="312">
        <v>8845.7389999999996</v>
      </c>
      <c r="E644" s="312">
        <v>16106.787549999994</v>
      </c>
      <c r="F644" s="312">
        <v>7063.7489999999998</v>
      </c>
      <c r="G644" s="99"/>
      <c r="H644" s="122"/>
      <c r="I644" s="122"/>
      <c r="K644" s="321">
        <v>399</v>
      </c>
      <c r="L644" s="321">
        <v>3513</v>
      </c>
      <c r="N644" s="196">
        <v>44811</v>
      </c>
      <c r="O644">
        <v>14388.751999999997</v>
      </c>
      <c r="P644">
        <v>8174.3619999999992</v>
      </c>
      <c r="Q644">
        <v>4302.846286</v>
      </c>
      <c r="R644">
        <v>8370.93</v>
      </c>
    </row>
    <row r="645" spans="1:18" x14ac:dyDescent="0.25">
      <c r="A645" s="323" t="s">
        <v>259</v>
      </c>
      <c r="B645" s="96">
        <v>44761</v>
      </c>
      <c r="C645" s="312">
        <v>6323.4500660000022</v>
      </c>
      <c r="D645" s="312">
        <v>8951.9709999999995</v>
      </c>
      <c r="E645" s="312">
        <v>15872.608549999992</v>
      </c>
      <c r="F645" s="312">
        <v>6982.3239999999996</v>
      </c>
      <c r="G645" s="99"/>
      <c r="H645" s="122"/>
      <c r="I645" s="122"/>
      <c r="K645" s="10">
        <v>398.81015000000798</v>
      </c>
      <c r="L645" s="10">
        <v>3236.4760000000001</v>
      </c>
      <c r="N645" s="196">
        <v>44813</v>
      </c>
      <c r="O645">
        <v>14619.317899999998</v>
      </c>
      <c r="P645">
        <v>8110.6829999999991</v>
      </c>
      <c r="Q645">
        <v>4438.7220420000003</v>
      </c>
      <c r="R645">
        <v>8379.2299000000003</v>
      </c>
    </row>
    <row r="646" spans="1:18" x14ac:dyDescent="0.25">
      <c r="A646" s="323" t="s">
        <v>259</v>
      </c>
      <c r="B646" s="96">
        <v>44762</v>
      </c>
      <c r="C646" s="312">
        <v>6234.6795726000018</v>
      </c>
      <c r="D646" s="438">
        <v>9205.273900000002</v>
      </c>
      <c r="E646" s="438">
        <v>16047.048099999998</v>
      </c>
      <c r="F646" s="312">
        <v>7082.7349999999997</v>
      </c>
      <c r="G646" s="436"/>
      <c r="H646" s="437"/>
      <c r="I646" s="437"/>
      <c r="K646" s="10">
        <v>336.56770000000068</v>
      </c>
      <c r="L646" s="10">
        <v>3424.4189000000001</v>
      </c>
      <c r="N646" s="196">
        <v>44817</v>
      </c>
      <c r="O646">
        <v>14766</v>
      </c>
      <c r="P646">
        <v>8141</v>
      </c>
      <c r="Q646">
        <v>4513</v>
      </c>
      <c r="R646">
        <v>8160</v>
      </c>
    </row>
    <row r="647" spans="1:18" x14ac:dyDescent="0.25">
      <c r="A647" s="323" t="s">
        <v>259</v>
      </c>
      <c r="B647" s="96">
        <v>44763</v>
      </c>
      <c r="C647" s="312">
        <v>6217.5195726000011</v>
      </c>
      <c r="D647" s="438">
        <v>9292.0298999999995</v>
      </c>
      <c r="E647" s="438">
        <v>15798.015599999992</v>
      </c>
      <c r="F647" s="312">
        <v>7140.8440000000001</v>
      </c>
      <c r="G647" s="436"/>
      <c r="H647" s="437"/>
      <c r="I647" s="437"/>
      <c r="K647" s="10">
        <v>336</v>
      </c>
      <c r="L647" s="10">
        <v>3632</v>
      </c>
      <c r="N647" s="196">
        <v>44818</v>
      </c>
      <c r="O647">
        <v>15055.165800000002</v>
      </c>
      <c r="P647">
        <v>8024.8390000000009</v>
      </c>
      <c r="Q647">
        <v>4333.971841999999</v>
      </c>
      <c r="R647">
        <v>8223.6489000000001</v>
      </c>
    </row>
    <row r="648" spans="1:18" x14ac:dyDescent="0.25">
      <c r="A648" s="323" t="s">
        <v>259</v>
      </c>
      <c r="B648" s="96">
        <v>44764</v>
      </c>
      <c r="C648" s="312">
        <v>6156.184855999998</v>
      </c>
      <c r="D648" s="438">
        <v>9225.4868999999981</v>
      </c>
      <c r="E648" s="438">
        <v>15734.979899999989</v>
      </c>
      <c r="F648" s="312">
        <v>7197.1869999999999</v>
      </c>
      <c r="G648" s="436"/>
      <c r="H648" s="437"/>
      <c r="I648" s="437"/>
      <c r="K648" s="10">
        <v>317.2133999999985</v>
      </c>
      <c r="L648" s="10">
        <v>3732.8440000000001</v>
      </c>
      <c r="N648" s="196">
        <v>44819</v>
      </c>
      <c r="O648">
        <v>15081.017100000001</v>
      </c>
      <c r="P648">
        <v>7963.7079999999996</v>
      </c>
      <c r="Q648">
        <v>3999.5900419999998</v>
      </c>
      <c r="R648">
        <v>8143.5540000000001</v>
      </c>
    </row>
    <row r="649" spans="1:18" x14ac:dyDescent="0.25">
      <c r="A649" s="323" t="s">
        <v>259</v>
      </c>
      <c r="B649" s="96">
        <v>44767</v>
      </c>
      <c r="C649" s="312">
        <v>6099.7400813000013</v>
      </c>
      <c r="D649" s="312">
        <v>8825.905999999999</v>
      </c>
      <c r="E649" s="312">
        <v>15435.077400000002</v>
      </c>
      <c r="F649" s="312">
        <v>7298.4269999999997</v>
      </c>
      <c r="G649" s="99"/>
      <c r="H649" s="122"/>
      <c r="I649" s="122"/>
      <c r="K649" s="10">
        <v>316.65789999999873</v>
      </c>
      <c r="L649" s="10">
        <v>3636.0529999999999</v>
      </c>
      <c r="N649" s="196">
        <v>44820</v>
      </c>
      <c r="O649">
        <v>15111.514800000003</v>
      </c>
      <c r="P649">
        <v>7958.1440000000011</v>
      </c>
      <c r="Q649">
        <v>4356.9572419999986</v>
      </c>
      <c r="R649">
        <v>7926.1369000000004</v>
      </c>
    </row>
    <row r="650" spans="1:18" x14ac:dyDescent="0.25">
      <c r="A650" s="323" t="s">
        <v>259</v>
      </c>
      <c r="B650" s="96">
        <v>44768</v>
      </c>
      <c r="C650" s="312">
        <v>6099.1174759999994</v>
      </c>
      <c r="D650" s="438">
        <v>8417.764000000001</v>
      </c>
      <c r="E650" s="438">
        <v>15334.059599999999</v>
      </c>
      <c r="F650" s="312">
        <v>7552.3770000000004</v>
      </c>
      <c r="G650" s="436"/>
      <c r="H650" s="437"/>
      <c r="I650" s="437"/>
      <c r="K650" s="10">
        <v>335.63700000000057</v>
      </c>
      <c r="L650" s="10">
        <v>3499.5010000000002</v>
      </c>
      <c r="N650" s="196">
        <v>44823</v>
      </c>
      <c r="O650">
        <v>14457.796599999998</v>
      </c>
      <c r="P650">
        <v>8101.5170000000007</v>
      </c>
      <c r="Q650">
        <v>4408.7908420000003</v>
      </c>
      <c r="R650">
        <v>7592.2008999999998</v>
      </c>
    </row>
    <row r="651" spans="1:18" x14ac:dyDescent="0.25">
      <c r="A651" s="323" t="s">
        <v>259</v>
      </c>
      <c r="B651" s="96">
        <v>44769</v>
      </c>
      <c r="C651" s="312">
        <v>6034.2606759999999</v>
      </c>
      <c r="D651" s="312">
        <v>8731</v>
      </c>
      <c r="E651" s="312">
        <v>15426.221299999999</v>
      </c>
      <c r="F651" s="312">
        <v>7645.2359999999999</v>
      </c>
      <c r="G651" s="99"/>
      <c r="H651" s="122"/>
      <c r="I651" s="122"/>
      <c r="K651" s="10">
        <v>334.3482000000007</v>
      </c>
      <c r="L651" s="10">
        <v>3786.2939999999999</v>
      </c>
      <c r="N651" s="196">
        <v>44824</v>
      </c>
      <c r="O651">
        <v>14570.085600000002</v>
      </c>
      <c r="P651">
        <v>8223.107</v>
      </c>
      <c r="Q651">
        <v>4281.9641419999989</v>
      </c>
      <c r="R651">
        <v>7742.7568999999994</v>
      </c>
    </row>
    <row r="652" spans="1:18" x14ac:dyDescent="0.25">
      <c r="A652" s="323" t="s">
        <v>259</v>
      </c>
      <c r="B652" s="96">
        <v>44770</v>
      </c>
      <c r="C652" s="312">
        <v>5872.2964880999998</v>
      </c>
      <c r="D652" s="312">
        <v>8765.8670000000002</v>
      </c>
      <c r="E652" s="312">
        <v>15302.587249999991</v>
      </c>
      <c r="F652" s="312">
        <v>7608.3159999999998</v>
      </c>
      <c r="G652" s="99"/>
      <c r="H652" s="122"/>
      <c r="I652" s="122"/>
      <c r="K652" s="10">
        <v>378.05035000000595</v>
      </c>
      <c r="L652" s="10">
        <v>3951.9969999999998</v>
      </c>
      <c r="N652" s="196">
        <v>44825</v>
      </c>
      <c r="O652">
        <v>14751.837500000001</v>
      </c>
      <c r="P652">
        <v>8375.5319999999992</v>
      </c>
      <c r="Q652">
        <v>4429.664342</v>
      </c>
      <c r="R652">
        <v>7635.6089999999995</v>
      </c>
    </row>
    <row r="653" spans="1:18" x14ac:dyDescent="0.25">
      <c r="A653" s="323" t="s">
        <v>259</v>
      </c>
      <c r="B653" s="96">
        <v>44771</v>
      </c>
      <c r="C653" s="312">
        <v>5707.3804430000009</v>
      </c>
      <c r="D653" s="312">
        <v>8821.0709000000006</v>
      </c>
      <c r="E653" s="312">
        <v>15375.083499999993</v>
      </c>
      <c r="F653" s="312">
        <v>7433.192</v>
      </c>
      <c r="G653" s="99"/>
      <c r="H653" s="122"/>
      <c r="I653" s="122"/>
      <c r="K653" s="10">
        <v>334.3482000000007</v>
      </c>
      <c r="L653" s="10">
        <v>3993.067</v>
      </c>
      <c r="N653" s="196">
        <v>44826</v>
      </c>
      <c r="O653">
        <v>14935.051700000002</v>
      </c>
      <c r="P653">
        <v>8328.0120000000006</v>
      </c>
      <c r="Q653">
        <v>4369.3295420000004</v>
      </c>
      <c r="R653">
        <v>7694.861899999999</v>
      </c>
    </row>
    <row r="654" spans="1:18" x14ac:dyDescent="0.25">
      <c r="A654" s="323" t="s">
        <v>260</v>
      </c>
      <c r="B654" s="96">
        <v>44774</v>
      </c>
      <c r="C654" s="312">
        <v>5864.8388430000005</v>
      </c>
      <c r="D654" s="312">
        <v>8678.4890000000014</v>
      </c>
      <c r="E654" s="312">
        <v>15572.845900000002</v>
      </c>
      <c r="F654" s="312">
        <v>7362.6949999999997</v>
      </c>
      <c r="G654" s="99"/>
      <c r="H654" s="122"/>
      <c r="I654" s="122"/>
      <c r="K654" s="10">
        <v>408.98165000000876</v>
      </c>
      <c r="L654" s="10">
        <v>3632.6309999999999</v>
      </c>
      <c r="N654" s="196">
        <v>44827</v>
      </c>
      <c r="O654">
        <v>15452</v>
      </c>
      <c r="P654">
        <v>8371</v>
      </c>
      <c r="Q654">
        <v>4710</v>
      </c>
      <c r="R654">
        <v>7623</v>
      </c>
    </row>
    <row r="655" spans="1:18" x14ac:dyDescent="0.25">
      <c r="A655" s="323" t="s">
        <v>260</v>
      </c>
      <c r="B655" s="96">
        <v>44775</v>
      </c>
      <c r="C655" s="314">
        <v>5864.7408430000014</v>
      </c>
      <c r="D655" s="314">
        <v>8707.3169999999991</v>
      </c>
      <c r="E655" s="314">
        <v>15226.638899999996</v>
      </c>
      <c r="F655" s="314">
        <v>7326.9449999999997</v>
      </c>
      <c r="G655" s="436"/>
      <c r="H655" s="437"/>
      <c r="I655" s="437"/>
      <c r="K655" s="10">
        <v>417.61285000000942</v>
      </c>
      <c r="L655" s="10">
        <v>3553.723</v>
      </c>
      <c r="N655" s="196">
        <v>44830</v>
      </c>
      <c r="O655">
        <v>15181.826400000005</v>
      </c>
      <c r="P655">
        <v>8391.9240000000009</v>
      </c>
      <c r="Q655">
        <v>4435.6407419999996</v>
      </c>
      <c r="R655">
        <v>7278.4129000000003</v>
      </c>
    </row>
    <row r="656" spans="1:18" x14ac:dyDescent="0.25">
      <c r="A656" s="323" t="s">
        <v>260</v>
      </c>
      <c r="B656" s="96">
        <v>44776</v>
      </c>
      <c r="C656" s="312">
        <v>5824.4886447000008</v>
      </c>
      <c r="D656" s="312">
        <v>8733.2560000000012</v>
      </c>
      <c r="E656" s="312">
        <v>15487.296049999988</v>
      </c>
      <c r="F656" s="312">
        <v>7458.2659999999996</v>
      </c>
      <c r="G656" s="99"/>
      <c r="H656" s="122"/>
      <c r="I656" s="122"/>
      <c r="K656" s="334">
        <v>410</v>
      </c>
      <c r="L656" s="334">
        <v>3577</v>
      </c>
      <c r="N656" s="196">
        <v>44831</v>
      </c>
      <c r="O656">
        <v>16043</v>
      </c>
      <c r="P656">
        <v>8459</v>
      </c>
      <c r="Q656">
        <v>4361</v>
      </c>
      <c r="R656">
        <v>7424</v>
      </c>
    </row>
    <row r="657" spans="1:18" x14ac:dyDescent="0.25">
      <c r="A657" s="323" t="s">
        <v>260</v>
      </c>
      <c r="B657" s="96">
        <v>44777</v>
      </c>
      <c r="C657" s="312">
        <v>5805.7190000000001</v>
      </c>
      <c r="D657" s="312">
        <v>8544.2345000000005</v>
      </c>
      <c r="E657" s="312">
        <v>14998.620749999991</v>
      </c>
      <c r="F657" s="312">
        <v>7463.6750000000002</v>
      </c>
      <c r="G657" s="99"/>
      <c r="H657" s="122"/>
      <c r="I657" s="122"/>
      <c r="K657" s="10">
        <v>358</v>
      </c>
      <c r="L657" s="10">
        <v>3549</v>
      </c>
      <c r="N657" s="196">
        <v>44832</v>
      </c>
      <c r="O657">
        <v>16308</v>
      </c>
      <c r="P657">
        <v>8436</v>
      </c>
      <c r="Q657">
        <v>4358</v>
      </c>
      <c r="R657">
        <v>7310</v>
      </c>
    </row>
    <row r="658" spans="1:18" x14ac:dyDescent="0.25">
      <c r="A658" s="323" t="s">
        <v>260</v>
      </c>
      <c r="B658" s="96">
        <v>44778</v>
      </c>
      <c r="C658" s="312">
        <v>5149.6572099999994</v>
      </c>
      <c r="D658" s="438">
        <v>8493.2338999999993</v>
      </c>
      <c r="E658" s="438">
        <v>14810.987250000004</v>
      </c>
      <c r="F658" s="312">
        <v>7517.5950000000003</v>
      </c>
      <c r="G658" s="436"/>
      <c r="H658" s="437"/>
      <c r="I658" s="437"/>
      <c r="K658" s="10">
        <v>278.9051499999926</v>
      </c>
      <c r="L658" s="10">
        <v>3829.558</v>
      </c>
      <c r="N658" s="196">
        <v>44833</v>
      </c>
      <c r="O658">
        <v>16543</v>
      </c>
      <c r="P658">
        <v>8487</v>
      </c>
      <c r="Q658">
        <v>4558</v>
      </c>
      <c r="R658">
        <v>7325</v>
      </c>
    </row>
    <row r="659" spans="1:18" x14ac:dyDescent="0.25">
      <c r="A659" s="323" t="s">
        <v>260</v>
      </c>
      <c r="B659" s="96">
        <v>44781</v>
      </c>
      <c r="C659" s="312">
        <v>5032.3258500000002</v>
      </c>
      <c r="D659" s="312">
        <v>8591.0430000000015</v>
      </c>
      <c r="E659" s="312">
        <v>14177.244050000005</v>
      </c>
      <c r="F659" s="312">
        <v>7575.9549999999999</v>
      </c>
      <c r="G659" s="99"/>
      <c r="H659" s="122"/>
      <c r="I659" s="122"/>
      <c r="K659" s="10">
        <v>278.49684999999346</v>
      </c>
      <c r="L659" s="10">
        <v>3533.47</v>
      </c>
      <c r="N659" s="196">
        <v>44834</v>
      </c>
      <c r="O659">
        <v>16791</v>
      </c>
      <c r="P659">
        <v>8283</v>
      </c>
      <c r="Q659">
        <v>4948</v>
      </c>
      <c r="R659">
        <v>7226</v>
      </c>
    </row>
    <row r="660" spans="1:18" x14ac:dyDescent="0.25">
      <c r="A660" s="323" t="s">
        <v>260</v>
      </c>
      <c r="B660" s="96">
        <v>44782</v>
      </c>
      <c r="C660" s="312">
        <v>5030.2896500000006</v>
      </c>
      <c r="D660" s="312">
        <v>8759.0649999999987</v>
      </c>
      <c r="E660" s="438">
        <v>14245.983150000009</v>
      </c>
      <c r="F660" s="312">
        <v>7692.1880000000001</v>
      </c>
      <c r="G660" s="436"/>
      <c r="H660" s="437"/>
      <c r="I660" s="437"/>
      <c r="K660" s="10">
        <v>267.69784999999189</v>
      </c>
      <c r="L660" s="10">
        <v>3606.2860000000001</v>
      </c>
      <c r="N660" s="196">
        <v>44837</v>
      </c>
      <c r="O660">
        <v>15925</v>
      </c>
      <c r="P660">
        <v>8155</v>
      </c>
      <c r="Q660">
        <v>4659</v>
      </c>
      <c r="R660">
        <v>7217</v>
      </c>
    </row>
    <row r="661" spans="1:18" x14ac:dyDescent="0.25">
      <c r="A661" s="323" t="s">
        <v>260</v>
      </c>
      <c r="B661" s="96">
        <v>44783</v>
      </c>
      <c r="C661" s="312">
        <v>5078.6867834000004</v>
      </c>
      <c r="D661" s="438">
        <v>8872.7168999999976</v>
      </c>
      <c r="E661" s="438">
        <v>14412.517000000005</v>
      </c>
      <c r="F661" s="312">
        <v>7853.268</v>
      </c>
      <c r="G661" s="436"/>
      <c r="H661" s="437"/>
      <c r="I661" s="437"/>
      <c r="K661" s="10">
        <v>224.24579999999304</v>
      </c>
      <c r="L661" s="10">
        <v>3714.6689999999999</v>
      </c>
      <c r="N661" s="196">
        <v>44838</v>
      </c>
      <c r="O661">
        <v>15542</v>
      </c>
      <c r="P661">
        <v>8222</v>
      </c>
      <c r="Q661">
        <v>4837.7183473000014</v>
      </c>
      <c r="R661">
        <v>7417.5608999999995</v>
      </c>
    </row>
    <row r="662" spans="1:18" x14ac:dyDescent="0.25">
      <c r="A662" s="323" t="s">
        <v>260</v>
      </c>
      <c r="B662" s="96">
        <v>44788</v>
      </c>
      <c r="C662" s="312">
        <v>5014.6393320000006</v>
      </c>
      <c r="D662" s="312">
        <v>8998.7358999999997</v>
      </c>
      <c r="E662" s="312">
        <v>14255.263400000005</v>
      </c>
      <c r="F662" s="312">
        <v>8024.7860000000001</v>
      </c>
      <c r="G662" s="99"/>
      <c r="H662" s="122"/>
      <c r="I662" s="122"/>
      <c r="K662" s="10">
        <v>155.62879999999743</v>
      </c>
      <c r="L662" s="10">
        <v>3644.5140000000001</v>
      </c>
      <c r="N662" s="196">
        <v>44839</v>
      </c>
      <c r="O662">
        <v>15309</v>
      </c>
      <c r="P662">
        <v>7971</v>
      </c>
      <c r="Q662">
        <v>4730</v>
      </c>
      <c r="R662">
        <v>7435</v>
      </c>
    </row>
    <row r="663" spans="1:18" x14ac:dyDescent="0.25">
      <c r="A663" s="323" t="s">
        <v>260</v>
      </c>
      <c r="B663" s="96">
        <v>44789</v>
      </c>
      <c r="C663" s="312">
        <v>4977.3452319999997</v>
      </c>
      <c r="D663" s="438">
        <v>9260.5608999999986</v>
      </c>
      <c r="E663" s="438">
        <v>14382.347900000002</v>
      </c>
      <c r="F663" s="312">
        <v>8121.9570000000003</v>
      </c>
      <c r="G663" s="436"/>
      <c r="H663" s="437"/>
      <c r="I663" s="437"/>
      <c r="K663" s="10">
        <v>149.82909999999771</v>
      </c>
      <c r="L663" s="10">
        <v>3942.123</v>
      </c>
      <c r="N663" s="196">
        <v>44840</v>
      </c>
      <c r="O663">
        <v>14800</v>
      </c>
      <c r="P663">
        <v>7871</v>
      </c>
      <c r="Q663">
        <v>4879</v>
      </c>
      <c r="R663">
        <v>7307</v>
      </c>
    </row>
    <row r="664" spans="1:18" x14ac:dyDescent="0.25">
      <c r="A664" s="323" t="s">
        <v>260</v>
      </c>
      <c r="B664" s="96">
        <v>44790</v>
      </c>
      <c r="C664" s="312">
        <v>4992.9897820000006</v>
      </c>
      <c r="D664" s="438">
        <v>9197.7329000000009</v>
      </c>
      <c r="E664" s="438">
        <v>14252.435500000001</v>
      </c>
      <c r="F664" s="312">
        <v>8048.1029999999992</v>
      </c>
      <c r="G664" s="436"/>
      <c r="H664" s="437"/>
      <c r="I664" s="437"/>
      <c r="K664" s="10">
        <v>149.82909999999782</v>
      </c>
      <c r="L664" s="10">
        <v>4034.1970000000001</v>
      </c>
      <c r="N664" s="196">
        <v>44841</v>
      </c>
      <c r="O664">
        <v>14746</v>
      </c>
      <c r="P664">
        <v>7984</v>
      </c>
      <c r="Q664">
        <v>4971</v>
      </c>
      <c r="R664">
        <v>7269</v>
      </c>
    </row>
    <row r="665" spans="1:18" x14ac:dyDescent="0.25">
      <c r="A665" s="323" t="s">
        <v>260</v>
      </c>
      <c r="B665" s="96">
        <v>44791</v>
      </c>
      <c r="C665" s="312">
        <v>5115.4573120000005</v>
      </c>
      <c r="D665" s="312">
        <v>9149.5169000000005</v>
      </c>
      <c r="E665" s="312">
        <v>14555.194199999998</v>
      </c>
      <c r="F665" s="312">
        <v>8067.2279999999992</v>
      </c>
      <c r="G665" s="99"/>
      <c r="H665" s="122"/>
      <c r="I665" s="122"/>
      <c r="K665" s="10">
        <v>101.16279999999908</v>
      </c>
      <c r="L665" s="10">
        <v>4014.2020000000002</v>
      </c>
      <c r="N665" s="196">
        <v>44844</v>
      </c>
      <c r="O665">
        <v>14252</v>
      </c>
      <c r="P665">
        <v>8445</v>
      </c>
      <c r="Q665">
        <v>4853</v>
      </c>
      <c r="R665">
        <v>7058</v>
      </c>
    </row>
    <row r="666" spans="1:18" x14ac:dyDescent="0.25">
      <c r="A666" s="323" t="s">
        <v>260</v>
      </c>
      <c r="B666" s="96">
        <v>44792</v>
      </c>
      <c r="C666" s="312">
        <v>5388.6489619999993</v>
      </c>
      <c r="D666" s="312">
        <v>9179.9079000000002</v>
      </c>
      <c r="E666" s="312">
        <v>14660.986100000007</v>
      </c>
      <c r="F666" s="312">
        <v>8173.1170000000002</v>
      </c>
      <c r="G666" s="99"/>
      <c r="H666" s="122"/>
      <c r="I666" s="122"/>
      <c r="K666" s="10">
        <v>145.98069999999655</v>
      </c>
      <c r="L666" s="10">
        <v>3872.58</v>
      </c>
      <c r="N666" s="196">
        <v>44845</v>
      </c>
      <c r="O666">
        <v>14195</v>
      </c>
      <c r="P666">
        <v>8581</v>
      </c>
      <c r="Q666">
        <v>4913</v>
      </c>
      <c r="R666">
        <v>7406</v>
      </c>
    </row>
    <row r="667" spans="1:18" x14ac:dyDescent="0.25">
      <c r="A667" s="323" t="s">
        <v>260</v>
      </c>
      <c r="B667" s="96">
        <v>44795</v>
      </c>
      <c r="C667" s="312">
        <v>5211.9663007000017</v>
      </c>
      <c r="D667" s="312">
        <v>9001.1018999999997</v>
      </c>
      <c r="E667" s="312">
        <v>13603.230600000001</v>
      </c>
      <c r="F667" s="312">
        <v>8211.39</v>
      </c>
      <c r="G667" s="99"/>
      <c r="H667" s="122"/>
      <c r="I667" s="122"/>
      <c r="K667" s="10">
        <v>146.15849999999654</v>
      </c>
      <c r="L667" s="10">
        <v>3818.252</v>
      </c>
      <c r="N667" s="196">
        <v>44846</v>
      </c>
      <c r="O667">
        <v>14296</v>
      </c>
      <c r="P667">
        <v>8727</v>
      </c>
      <c r="Q667">
        <v>4783</v>
      </c>
      <c r="R667">
        <v>7489</v>
      </c>
    </row>
    <row r="668" spans="1:18" x14ac:dyDescent="0.25">
      <c r="A668" s="323" t="s">
        <v>260</v>
      </c>
      <c r="B668" s="96">
        <v>44796</v>
      </c>
      <c r="C668" s="312">
        <v>5296.247685600003</v>
      </c>
      <c r="D668" s="438">
        <v>9265.0699000000004</v>
      </c>
      <c r="E668" s="438">
        <v>13725.270500000002</v>
      </c>
      <c r="F668" s="312">
        <v>8308.2999999999993</v>
      </c>
      <c r="G668" s="436"/>
      <c r="H668" s="437"/>
      <c r="I668" s="437"/>
      <c r="K668" s="10">
        <v>146.26959999999661</v>
      </c>
      <c r="L668" s="10">
        <v>3975.069</v>
      </c>
      <c r="N668" s="196">
        <v>44847</v>
      </c>
      <c r="O668">
        <v>14235</v>
      </c>
      <c r="P668">
        <v>8542</v>
      </c>
      <c r="Q668">
        <v>4898</v>
      </c>
      <c r="R668">
        <v>7549</v>
      </c>
    </row>
    <row r="669" spans="1:18" x14ac:dyDescent="0.25">
      <c r="A669" s="323" t="s">
        <v>260</v>
      </c>
      <c r="B669" s="96">
        <v>44797</v>
      </c>
      <c r="C669" s="312">
        <v>5404.7697203999996</v>
      </c>
      <c r="D669" s="312">
        <v>9168.0228999999981</v>
      </c>
      <c r="E669" s="312">
        <v>13639.087500000001</v>
      </c>
      <c r="F669" s="312">
        <v>8310.9390000000003</v>
      </c>
      <c r="G669" s="99"/>
      <c r="H669" s="122"/>
      <c r="I669" s="122"/>
      <c r="K669" s="10">
        <v>145.66959999999648</v>
      </c>
      <c r="L669" s="10">
        <v>3978.6689999999999</v>
      </c>
      <c r="N669" s="196">
        <v>44848</v>
      </c>
      <c r="O669">
        <v>14425</v>
      </c>
      <c r="P669">
        <v>8324</v>
      </c>
      <c r="Q669">
        <v>4893</v>
      </c>
      <c r="R669">
        <v>7367</v>
      </c>
    </row>
    <row r="670" spans="1:18" x14ac:dyDescent="0.25">
      <c r="A670" s="323" t="s">
        <v>260</v>
      </c>
      <c r="B670" s="96">
        <v>44798</v>
      </c>
      <c r="C670" s="312">
        <v>5277.085320000002</v>
      </c>
      <c r="D670" s="312">
        <v>9052.6413999999986</v>
      </c>
      <c r="E670" s="312">
        <v>13679.052100000006</v>
      </c>
      <c r="F670" s="312">
        <v>8142.2780000000012</v>
      </c>
      <c r="G670" s="99"/>
      <c r="H670" s="122"/>
      <c r="I670" s="122"/>
      <c r="K670" s="10">
        <v>146</v>
      </c>
      <c r="L670" s="10">
        <v>4127.7020000000002</v>
      </c>
      <c r="N670" s="196">
        <v>44851</v>
      </c>
      <c r="O670">
        <v>14084</v>
      </c>
      <c r="P670">
        <v>7976</v>
      </c>
      <c r="Q670">
        <v>4806</v>
      </c>
      <c r="R670">
        <v>7098</v>
      </c>
    </row>
    <row r="671" spans="1:18" x14ac:dyDescent="0.25">
      <c r="A671" s="323" t="s">
        <v>260</v>
      </c>
      <c r="B671" s="96">
        <v>44799</v>
      </c>
      <c r="C671" s="312">
        <v>5273</v>
      </c>
      <c r="D671" s="438">
        <v>9015</v>
      </c>
      <c r="E671" s="438">
        <v>13708</v>
      </c>
      <c r="F671" s="312">
        <v>8042</v>
      </c>
      <c r="G671" s="436"/>
      <c r="H671" s="437"/>
      <c r="I671" s="437"/>
      <c r="K671" s="334">
        <v>146</v>
      </c>
      <c r="L671" s="334">
        <v>4161</v>
      </c>
      <c r="N671" s="196">
        <v>44852</v>
      </c>
      <c r="O671">
        <v>14160</v>
      </c>
      <c r="P671">
        <v>8036</v>
      </c>
      <c r="Q671">
        <v>4726</v>
      </c>
      <c r="R671">
        <v>7238</v>
      </c>
    </row>
    <row r="672" spans="1:18" x14ac:dyDescent="0.25">
      <c r="A672" s="323" t="s">
        <v>260</v>
      </c>
      <c r="B672" s="96">
        <v>44802</v>
      </c>
      <c r="C672" s="312">
        <v>4879.8115200000011</v>
      </c>
      <c r="D672" s="438">
        <v>8891.5960000000014</v>
      </c>
      <c r="E672" s="438">
        <v>13477.094200000007</v>
      </c>
      <c r="F672" s="312">
        <v>8181.9070000000002</v>
      </c>
      <c r="G672" s="436"/>
      <c r="H672" s="437"/>
      <c r="I672" s="437"/>
      <c r="K672" s="10">
        <v>145.66959999999651</v>
      </c>
      <c r="L672" s="10">
        <v>3769.2049999999999</v>
      </c>
      <c r="N672" s="196">
        <v>44853</v>
      </c>
      <c r="O672">
        <v>13959</v>
      </c>
      <c r="P672">
        <v>7996</v>
      </c>
      <c r="Q672">
        <v>4600</v>
      </c>
      <c r="R672">
        <v>7114</v>
      </c>
    </row>
    <row r="673" spans="1:18" x14ac:dyDescent="0.25">
      <c r="A673" s="323" t="s">
        <v>260</v>
      </c>
      <c r="B673" s="96">
        <v>44803</v>
      </c>
      <c r="C673" s="312">
        <v>4746.0012200000001</v>
      </c>
      <c r="D673" s="438">
        <v>8999.2820000000011</v>
      </c>
      <c r="E673" s="438">
        <v>13524.797700000003</v>
      </c>
      <c r="F673" s="312">
        <v>8276.6560000000009</v>
      </c>
      <c r="G673" s="436"/>
      <c r="H673" s="437"/>
      <c r="I673" s="437"/>
      <c r="K673" s="10">
        <v>145.66959999999651</v>
      </c>
      <c r="L673" s="10">
        <v>4053.85</v>
      </c>
      <c r="N673" s="196">
        <v>44854</v>
      </c>
      <c r="O673">
        <v>13790</v>
      </c>
      <c r="P673">
        <v>7855</v>
      </c>
      <c r="Q673">
        <v>4613</v>
      </c>
      <c r="R673">
        <v>7153</v>
      </c>
    </row>
    <row r="674" spans="1:18" x14ac:dyDescent="0.25">
      <c r="A674" s="323" t="s">
        <v>260</v>
      </c>
      <c r="B674" s="96">
        <v>44804</v>
      </c>
      <c r="C674" s="312">
        <v>4592.6444605999986</v>
      </c>
      <c r="D674" s="438">
        <v>8849.8948999999975</v>
      </c>
      <c r="E674" s="438">
        <v>13593.508300000005</v>
      </c>
      <c r="F674" s="312">
        <v>8243.0920000000006</v>
      </c>
      <c r="G674" s="436"/>
      <c r="H674" s="437"/>
      <c r="I674" s="437"/>
      <c r="K674" s="10">
        <v>120.38249999999793</v>
      </c>
      <c r="L674" s="10">
        <v>3930.0250000000001</v>
      </c>
      <c r="N674" s="196">
        <v>44855</v>
      </c>
      <c r="O674">
        <v>13987</v>
      </c>
      <c r="P674">
        <v>7869</v>
      </c>
      <c r="Q674">
        <v>4811</v>
      </c>
      <c r="R674">
        <v>7062</v>
      </c>
    </row>
    <row r="675" spans="1:18" x14ac:dyDescent="0.25">
      <c r="A675" s="323" t="s">
        <v>261</v>
      </c>
      <c r="B675" s="96">
        <v>44805</v>
      </c>
      <c r="C675" s="312">
        <v>4374.8565859999999</v>
      </c>
      <c r="D675" s="312">
        <v>8710.3989000000001</v>
      </c>
      <c r="E675" s="312">
        <v>13660.574900000003</v>
      </c>
      <c r="F675" s="312">
        <v>8371.7289999999994</v>
      </c>
      <c r="G675" s="99"/>
      <c r="H675" s="122"/>
      <c r="I675" s="122"/>
      <c r="K675" s="7"/>
      <c r="L675" s="10">
        <v>3930.0250000000001</v>
      </c>
      <c r="N675" s="196">
        <v>44858</v>
      </c>
      <c r="O675">
        <v>13694</v>
      </c>
      <c r="P675">
        <v>7952</v>
      </c>
      <c r="Q675">
        <v>4850</v>
      </c>
      <c r="R675">
        <v>6938</v>
      </c>
    </row>
    <row r="676" spans="1:18" x14ac:dyDescent="0.25">
      <c r="A676" s="323" t="s">
        <v>261</v>
      </c>
      <c r="B676" s="96">
        <v>44806</v>
      </c>
      <c r="C676" s="312">
        <v>4425.4127860000008</v>
      </c>
      <c r="D676" s="312">
        <v>8999.2820000000011</v>
      </c>
      <c r="E676" s="312">
        <v>14071</v>
      </c>
      <c r="F676" s="312">
        <v>8498.2389999999996</v>
      </c>
      <c r="G676" s="99"/>
      <c r="H676" s="122"/>
      <c r="I676" s="122"/>
      <c r="K676" s="7"/>
      <c r="L676" s="10">
        <v>3797</v>
      </c>
      <c r="N676" s="196">
        <v>44859</v>
      </c>
      <c r="O676">
        <v>13723</v>
      </c>
      <c r="P676">
        <v>8185</v>
      </c>
      <c r="Q676">
        <v>4920</v>
      </c>
      <c r="R676">
        <v>7209</v>
      </c>
    </row>
    <row r="677" spans="1:18" x14ac:dyDescent="0.25">
      <c r="A677" s="323" t="s">
        <v>261</v>
      </c>
      <c r="B677" s="96">
        <v>44809</v>
      </c>
      <c r="C677" s="312">
        <v>4091.8415859999991</v>
      </c>
      <c r="D677" s="438">
        <v>8311.7839999999997</v>
      </c>
      <c r="E677" s="438">
        <v>14293.175799999997</v>
      </c>
      <c r="F677" s="312">
        <v>8127.3510000000006</v>
      </c>
      <c r="G677" s="436"/>
      <c r="H677" s="437"/>
      <c r="I677" s="437"/>
      <c r="K677" s="7"/>
      <c r="L677" s="10">
        <v>3474</v>
      </c>
      <c r="N677" s="196">
        <v>44860</v>
      </c>
      <c r="O677">
        <v>13755</v>
      </c>
      <c r="P677">
        <v>8311</v>
      </c>
      <c r="Q677">
        <v>5217</v>
      </c>
      <c r="R677">
        <v>7519</v>
      </c>
    </row>
    <row r="678" spans="1:18" x14ac:dyDescent="0.25">
      <c r="A678" s="323" t="s">
        <v>261</v>
      </c>
      <c r="B678" s="96">
        <v>44810</v>
      </c>
      <c r="C678" s="312">
        <v>4197.1976859999995</v>
      </c>
      <c r="D678" s="438">
        <v>8442.2289999999994</v>
      </c>
      <c r="E678" s="438">
        <v>14363.189200000001</v>
      </c>
      <c r="F678" s="312">
        <v>8291.0229999999992</v>
      </c>
      <c r="G678" s="436"/>
      <c r="H678" s="437"/>
      <c r="I678" s="437"/>
      <c r="K678" s="7"/>
      <c r="L678" s="10">
        <v>3473.8960000000002</v>
      </c>
      <c r="N678" s="196">
        <v>44861</v>
      </c>
      <c r="O678">
        <v>13778</v>
      </c>
      <c r="P678">
        <v>8233</v>
      </c>
      <c r="Q678">
        <v>5299</v>
      </c>
      <c r="R678">
        <v>7752</v>
      </c>
    </row>
    <row r="679" spans="1:18" x14ac:dyDescent="0.25">
      <c r="A679" s="323" t="s">
        <v>261</v>
      </c>
      <c r="B679" s="96">
        <v>44811</v>
      </c>
      <c r="C679" s="312">
        <v>4302.846286</v>
      </c>
      <c r="D679" s="438">
        <v>8370.93</v>
      </c>
      <c r="E679" s="438">
        <v>14388.751999999997</v>
      </c>
      <c r="F679" s="312">
        <v>8174.3619999999992</v>
      </c>
      <c r="G679" s="436"/>
      <c r="H679" s="437"/>
      <c r="I679" s="437"/>
      <c r="K679" s="7"/>
      <c r="L679" s="10">
        <v>3679</v>
      </c>
      <c r="N679" s="196">
        <v>44862</v>
      </c>
      <c r="O679">
        <v>13796</v>
      </c>
      <c r="P679">
        <v>8241</v>
      </c>
      <c r="Q679">
        <v>5574</v>
      </c>
      <c r="R679">
        <v>7844</v>
      </c>
    </row>
    <row r="680" spans="1:18" x14ac:dyDescent="0.25">
      <c r="A680" s="323" t="s">
        <v>261</v>
      </c>
      <c r="B680" s="96">
        <v>44813</v>
      </c>
      <c r="C680" s="312">
        <v>4438.7220420000003</v>
      </c>
      <c r="D680" s="438">
        <v>8379.2299000000003</v>
      </c>
      <c r="E680" s="438">
        <v>14619.317899999998</v>
      </c>
      <c r="F680" s="312">
        <v>8110.6829999999991</v>
      </c>
      <c r="G680" s="436"/>
      <c r="H680" s="437"/>
      <c r="I680" s="437"/>
      <c r="K680" s="7"/>
      <c r="L680" s="10">
        <v>3972.4079999999999</v>
      </c>
      <c r="N680" s="196">
        <v>44865</v>
      </c>
      <c r="O680">
        <v>13016</v>
      </c>
      <c r="P680">
        <v>8102</v>
      </c>
      <c r="Q680">
        <v>5717</v>
      </c>
      <c r="R680">
        <v>7910</v>
      </c>
    </row>
    <row r="681" spans="1:18" x14ac:dyDescent="0.25">
      <c r="A681" s="323" t="s">
        <v>261</v>
      </c>
      <c r="B681" s="96">
        <v>44817</v>
      </c>
      <c r="C681" s="314">
        <v>4513</v>
      </c>
      <c r="D681" s="314">
        <v>8160</v>
      </c>
      <c r="E681" s="314">
        <v>14766</v>
      </c>
      <c r="F681" s="314">
        <v>8141</v>
      </c>
      <c r="G681" s="99"/>
      <c r="H681" s="122"/>
      <c r="I681" s="122"/>
      <c r="K681" s="7"/>
      <c r="L681" s="7">
        <v>3972</v>
      </c>
      <c r="N681" s="196">
        <v>44866</v>
      </c>
      <c r="O681">
        <v>12341</v>
      </c>
      <c r="P681">
        <v>8183</v>
      </c>
      <c r="Q681">
        <v>5800</v>
      </c>
      <c r="R681">
        <v>8012</v>
      </c>
    </row>
    <row r="682" spans="1:18" x14ac:dyDescent="0.25">
      <c r="A682" s="323" t="s">
        <v>261</v>
      </c>
      <c r="B682" s="96">
        <v>44818</v>
      </c>
      <c r="C682" s="314">
        <v>4333.971841999999</v>
      </c>
      <c r="D682" s="314">
        <v>8223.6489000000001</v>
      </c>
      <c r="E682" s="314">
        <v>15055.165800000002</v>
      </c>
      <c r="F682" s="314">
        <v>8024.8390000000009</v>
      </c>
      <c r="G682" s="99"/>
      <c r="H682" s="122"/>
      <c r="I682" s="122"/>
      <c r="K682" s="7"/>
      <c r="L682" s="7">
        <v>3970</v>
      </c>
      <c r="N682" s="196">
        <v>44867</v>
      </c>
      <c r="O682">
        <v>12475</v>
      </c>
      <c r="P682">
        <v>8061</v>
      </c>
      <c r="Q682">
        <v>5672</v>
      </c>
      <c r="R682">
        <v>8109</v>
      </c>
    </row>
    <row r="683" spans="1:18" x14ac:dyDescent="0.25">
      <c r="A683" s="323" t="s">
        <v>261</v>
      </c>
      <c r="B683" s="96">
        <v>44819</v>
      </c>
      <c r="C683" s="312">
        <v>3999.5900419999998</v>
      </c>
      <c r="D683" s="438">
        <v>8143.5540000000001</v>
      </c>
      <c r="E683" s="438">
        <v>15081.017100000001</v>
      </c>
      <c r="F683" s="312">
        <v>7963.7079999999996</v>
      </c>
      <c r="G683" s="436"/>
      <c r="H683" s="437"/>
      <c r="I683" s="437"/>
      <c r="K683" s="7"/>
      <c r="L683" s="10">
        <v>3999.7469999999998</v>
      </c>
      <c r="N683" s="196">
        <v>44868</v>
      </c>
      <c r="O683">
        <v>12230</v>
      </c>
      <c r="P683">
        <v>8133</v>
      </c>
      <c r="Q683">
        <v>5633</v>
      </c>
      <c r="R683">
        <v>8174</v>
      </c>
    </row>
    <row r="684" spans="1:18" x14ac:dyDescent="0.25">
      <c r="A684" s="323" t="s">
        <v>261</v>
      </c>
      <c r="B684" s="96">
        <v>44820</v>
      </c>
      <c r="C684" s="312">
        <v>4356.9572419999986</v>
      </c>
      <c r="D684" s="312">
        <v>7926.1369000000004</v>
      </c>
      <c r="E684" s="312">
        <v>15111.514800000003</v>
      </c>
      <c r="F684" s="312">
        <v>7958.1440000000011</v>
      </c>
      <c r="G684" s="99"/>
      <c r="H684" s="122"/>
      <c r="I684" s="122"/>
      <c r="K684" s="7"/>
      <c r="L684" s="10">
        <v>3952.8110000000001</v>
      </c>
      <c r="N684" s="196">
        <v>44869</v>
      </c>
      <c r="O684">
        <v>12306</v>
      </c>
      <c r="P684">
        <v>8083</v>
      </c>
      <c r="Q684">
        <v>5876</v>
      </c>
      <c r="R684">
        <v>8129</v>
      </c>
    </row>
    <row r="685" spans="1:18" x14ac:dyDescent="0.25">
      <c r="A685" s="323" t="s">
        <v>261</v>
      </c>
      <c r="B685" s="96">
        <v>44823</v>
      </c>
      <c r="C685" s="312">
        <v>4408.7908420000003</v>
      </c>
      <c r="D685" s="312">
        <v>7592.2008999999998</v>
      </c>
      <c r="E685" s="312">
        <v>14457.796599999998</v>
      </c>
      <c r="F685" s="312">
        <v>8101.5170000000007</v>
      </c>
      <c r="G685" s="99"/>
      <c r="H685" s="122"/>
      <c r="I685" s="122"/>
      <c r="K685" s="7"/>
      <c r="L685" s="10">
        <v>3539</v>
      </c>
      <c r="N685" s="196">
        <v>44873</v>
      </c>
      <c r="O685">
        <v>11943</v>
      </c>
      <c r="P685">
        <v>7982</v>
      </c>
      <c r="Q685">
        <v>5767</v>
      </c>
      <c r="R685">
        <v>7979</v>
      </c>
    </row>
    <row r="686" spans="1:18" x14ac:dyDescent="0.25">
      <c r="A686" s="323" t="s">
        <v>261</v>
      </c>
      <c r="B686" s="96">
        <v>44824</v>
      </c>
      <c r="C686" s="312">
        <v>4281.9641419999989</v>
      </c>
      <c r="D686" s="312">
        <v>7742.7568999999994</v>
      </c>
      <c r="E686" s="312">
        <v>14570.085600000002</v>
      </c>
      <c r="F686" s="312">
        <v>8223.107</v>
      </c>
      <c r="G686" s="99"/>
      <c r="H686" s="122"/>
      <c r="I686" s="122"/>
      <c r="K686" s="7"/>
      <c r="L686" s="10">
        <v>3535.857</v>
      </c>
      <c r="N686" s="196">
        <v>44874</v>
      </c>
      <c r="O686">
        <v>11765</v>
      </c>
      <c r="P686">
        <v>8116</v>
      </c>
      <c r="Q686">
        <v>5641</v>
      </c>
      <c r="R686">
        <v>8089</v>
      </c>
    </row>
    <row r="687" spans="1:18" x14ac:dyDescent="0.25">
      <c r="A687" s="323" t="s">
        <v>261</v>
      </c>
      <c r="B687" s="96">
        <v>44825</v>
      </c>
      <c r="C687" s="312">
        <v>4429.664342</v>
      </c>
      <c r="D687" s="312">
        <v>7635.6089999999995</v>
      </c>
      <c r="E687" s="312">
        <v>14751.837500000001</v>
      </c>
      <c r="F687" s="312">
        <v>8375.5319999999992</v>
      </c>
      <c r="G687" s="99"/>
      <c r="H687" s="122"/>
      <c r="I687" s="122"/>
      <c r="K687" s="7"/>
      <c r="L687" s="10">
        <v>3541.3240000000001</v>
      </c>
      <c r="N687" s="196">
        <v>44875</v>
      </c>
      <c r="O687">
        <v>11967</v>
      </c>
      <c r="P687">
        <v>8198</v>
      </c>
      <c r="Q687">
        <v>5331</v>
      </c>
      <c r="R687">
        <v>8309</v>
      </c>
    </row>
    <row r="688" spans="1:18" x14ac:dyDescent="0.25">
      <c r="A688" s="323" t="s">
        <v>261</v>
      </c>
      <c r="B688" s="96">
        <v>44826</v>
      </c>
      <c r="C688" s="312">
        <v>4369.3295420000004</v>
      </c>
      <c r="D688" s="312">
        <v>7694.861899999999</v>
      </c>
      <c r="E688" s="312">
        <v>14935.051700000002</v>
      </c>
      <c r="F688" s="312">
        <v>8328.0120000000006</v>
      </c>
      <c r="G688" s="99"/>
      <c r="H688" s="122"/>
      <c r="I688" s="122"/>
      <c r="K688" s="7"/>
      <c r="L688" s="10">
        <v>3645.9349999999999</v>
      </c>
      <c r="N688" s="196">
        <v>44876</v>
      </c>
      <c r="O688">
        <v>12450</v>
      </c>
      <c r="P688">
        <v>8264</v>
      </c>
      <c r="Q688">
        <v>5232</v>
      </c>
      <c r="R688">
        <v>8449</v>
      </c>
    </row>
    <row r="689" spans="1:18" x14ac:dyDescent="0.25">
      <c r="A689" s="323" t="s">
        <v>261</v>
      </c>
      <c r="B689" s="11">
        <v>44827</v>
      </c>
      <c r="C689" s="314">
        <v>4710</v>
      </c>
      <c r="D689" s="440">
        <v>7623</v>
      </c>
      <c r="E689" s="440">
        <v>15452</v>
      </c>
      <c r="F689" s="312">
        <v>8371</v>
      </c>
      <c r="G689" s="436"/>
      <c r="H689" s="437"/>
      <c r="I689" s="437"/>
      <c r="K689" s="7"/>
      <c r="L689" s="10">
        <v>3654.1060000000002</v>
      </c>
      <c r="N689" s="196">
        <v>44880</v>
      </c>
      <c r="O689">
        <v>12183</v>
      </c>
      <c r="P689">
        <v>8083</v>
      </c>
      <c r="Q689">
        <v>5495</v>
      </c>
      <c r="R689">
        <v>8562</v>
      </c>
    </row>
    <row r="690" spans="1:18" x14ac:dyDescent="0.25">
      <c r="A690" s="323" t="s">
        <v>261</v>
      </c>
      <c r="B690" s="96">
        <v>44830</v>
      </c>
      <c r="C690" s="312">
        <v>4435.6407419999996</v>
      </c>
      <c r="D690" s="312">
        <v>7278.4129000000003</v>
      </c>
      <c r="E690" s="312">
        <v>15181.826400000005</v>
      </c>
      <c r="F690" s="312">
        <v>8391.9240000000009</v>
      </c>
      <c r="G690" s="99"/>
      <c r="H690" s="122"/>
      <c r="I690" s="122"/>
      <c r="L690" s="334">
        <v>3942</v>
      </c>
      <c r="N690" s="196">
        <v>44881</v>
      </c>
      <c r="O690">
        <v>12133</v>
      </c>
      <c r="P690">
        <v>8049</v>
      </c>
      <c r="Q690">
        <v>5482</v>
      </c>
      <c r="R690">
        <v>8676</v>
      </c>
    </row>
    <row r="691" spans="1:18" x14ac:dyDescent="0.25">
      <c r="A691" s="323" t="s">
        <v>261</v>
      </c>
      <c r="B691" s="96">
        <v>44831</v>
      </c>
      <c r="C691" s="312">
        <v>4361</v>
      </c>
      <c r="D691" s="438">
        <v>7424</v>
      </c>
      <c r="E691" s="438">
        <v>16043</v>
      </c>
      <c r="F691" s="312">
        <v>8459</v>
      </c>
      <c r="G691" s="436"/>
      <c r="H691" s="437"/>
      <c r="I691" s="437"/>
      <c r="L691" s="10">
        <f>[1]Summary!$C$11</f>
        <v>3114.8409999999999</v>
      </c>
      <c r="N691" s="196">
        <v>44882</v>
      </c>
      <c r="O691">
        <v>12155</v>
      </c>
      <c r="P691">
        <v>8155</v>
      </c>
      <c r="Q691">
        <v>5456</v>
      </c>
      <c r="R691">
        <v>8652</v>
      </c>
    </row>
    <row r="692" spans="1:18" x14ac:dyDescent="0.25">
      <c r="A692" t="s">
        <v>261</v>
      </c>
      <c r="B692" s="96">
        <v>44832</v>
      </c>
      <c r="C692" s="314">
        <v>4358</v>
      </c>
      <c r="D692" s="314">
        <v>7310</v>
      </c>
      <c r="E692" s="314">
        <v>16308</v>
      </c>
      <c r="F692" s="314">
        <v>8436</v>
      </c>
      <c r="G692" s="436"/>
      <c r="H692" s="437"/>
      <c r="I692" s="437"/>
      <c r="L692" s="10">
        <f>[1]Summary!$C$11</f>
        <v>3114.8409999999999</v>
      </c>
      <c r="N692" s="196">
        <v>44883</v>
      </c>
      <c r="O692">
        <v>11711</v>
      </c>
      <c r="P692">
        <v>8246</v>
      </c>
      <c r="Q692">
        <v>5502</v>
      </c>
      <c r="R692">
        <v>8770</v>
      </c>
    </row>
    <row r="693" spans="1:18" x14ac:dyDescent="0.25">
      <c r="A693" t="s">
        <v>261</v>
      </c>
      <c r="B693" s="96">
        <v>44833</v>
      </c>
      <c r="C693" s="314">
        <v>4558</v>
      </c>
      <c r="D693" s="314">
        <v>7325</v>
      </c>
      <c r="E693" s="314">
        <v>16543</v>
      </c>
      <c r="F693" s="314">
        <v>8487</v>
      </c>
      <c r="G693" s="329"/>
      <c r="H693" s="390"/>
      <c r="I693" s="390"/>
      <c r="L693" s="122">
        <v>3844.63</v>
      </c>
      <c r="N693" s="196">
        <v>44886</v>
      </c>
      <c r="O693">
        <v>11813</v>
      </c>
      <c r="P693">
        <v>8180</v>
      </c>
      <c r="Q693">
        <v>5614</v>
      </c>
      <c r="R693">
        <v>8674</v>
      </c>
    </row>
    <row r="694" spans="1:18" x14ac:dyDescent="0.25">
      <c r="A694" t="s">
        <v>261</v>
      </c>
      <c r="B694" s="96">
        <v>44834</v>
      </c>
      <c r="C694" s="314">
        <v>4948</v>
      </c>
      <c r="D694" s="314">
        <v>7226</v>
      </c>
      <c r="E694" s="314">
        <v>16791</v>
      </c>
      <c r="F694" s="314">
        <v>8283</v>
      </c>
      <c r="G694" s="99"/>
      <c r="H694" s="122"/>
      <c r="I694" s="122"/>
      <c r="L694" s="122">
        <v>3816</v>
      </c>
      <c r="N694" s="196">
        <v>44887</v>
      </c>
      <c r="O694">
        <v>12145</v>
      </c>
      <c r="P694">
        <v>8381</v>
      </c>
      <c r="Q694">
        <v>5504</v>
      </c>
      <c r="R694">
        <v>8774</v>
      </c>
    </row>
    <row r="695" spans="1:18" x14ac:dyDescent="0.25">
      <c r="A695" t="s">
        <v>262</v>
      </c>
      <c r="B695" s="96">
        <v>44837</v>
      </c>
      <c r="C695" s="312">
        <v>4659</v>
      </c>
      <c r="D695" s="312">
        <v>7217</v>
      </c>
      <c r="E695" s="312">
        <v>15925</v>
      </c>
      <c r="F695" s="312">
        <v>8155</v>
      </c>
      <c r="G695" s="344"/>
      <c r="H695" s="409"/>
      <c r="I695" s="409"/>
      <c r="L695" s="122">
        <v>3569</v>
      </c>
      <c r="N695" s="196">
        <v>44888</v>
      </c>
      <c r="O695">
        <v>12194</v>
      </c>
      <c r="P695">
        <v>8518</v>
      </c>
      <c r="Q695">
        <v>5524</v>
      </c>
      <c r="R695">
        <v>8913</v>
      </c>
    </row>
    <row r="696" spans="1:18" x14ac:dyDescent="0.25">
      <c r="A696" t="s">
        <v>262</v>
      </c>
      <c r="B696" s="96">
        <v>44838</v>
      </c>
      <c r="C696" s="312">
        <f>[1]Summary!$C$7</f>
        <v>4837.7183473000014</v>
      </c>
      <c r="D696" s="438">
        <v>7417.5608999999995</v>
      </c>
      <c r="E696" s="438">
        <v>15542</v>
      </c>
      <c r="F696" s="312">
        <v>8222</v>
      </c>
      <c r="G696" s="436"/>
      <c r="H696" s="437"/>
      <c r="I696" s="437"/>
      <c r="L696" s="122">
        <v>3711</v>
      </c>
      <c r="N696" s="196">
        <v>44889</v>
      </c>
      <c r="O696">
        <v>12334</v>
      </c>
      <c r="P696">
        <v>8426</v>
      </c>
      <c r="Q696">
        <v>5541</v>
      </c>
      <c r="R696">
        <v>8914</v>
      </c>
    </row>
    <row r="697" spans="1:18" x14ac:dyDescent="0.25">
      <c r="A697" t="s">
        <v>262</v>
      </c>
      <c r="B697" s="96">
        <v>44839</v>
      </c>
      <c r="C697" s="312">
        <v>4730</v>
      </c>
      <c r="D697" s="312">
        <v>7435</v>
      </c>
      <c r="E697" s="312">
        <v>15309</v>
      </c>
      <c r="F697" s="312">
        <v>7971</v>
      </c>
      <c r="G697" s="99"/>
      <c r="H697" s="122"/>
      <c r="I697" s="122"/>
      <c r="L697" s="122">
        <v>3643.6010000000001</v>
      </c>
      <c r="N697" s="196">
        <v>44890</v>
      </c>
      <c r="O697">
        <v>11812</v>
      </c>
      <c r="P697">
        <v>8486</v>
      </c>
      <c r="Q697">
        <v>5420</v>
      </c>
      <c r="R697">
        <v>8925</v>
      </c>
    </row>
    <row r="698" spans="1:18" x14ac:dyDescent="0.25">
      <c r="A698" t="s">
        <v>262</v>
      </c>
      <c r="B698" s="96">
        <v>44840</v>
      </c>
      <c r="C698" s="312">
        <v>4879</v>
      </c>
      <c r="D698" s="312">
        <v>7307</v>
      </c>
      <c r="E698" s="312">
        <v>14800</v>
      </c>
      <c r="F698" s="312">
        <v>7871</v>
      </c>
      <c r="G698" s="99"/>
      <c r="H698" s="122"/>
      <c r="I698" s="122"/>
      <c r="L698" s="122">
        <v>3811</v>
      </c>
      <c r="N698" s="196">
        <v>44893</v>
      </c>
      <c r="O698">
        <v>11558</v>
      </c>
      <c r="P698">
        <v>8464</v>
      </c>
      <c r="Q698">
        <v>5502</v>
      </c>
      <c r="R698">
        <v>8441</v>
      </c>
    </row>
    <row r="699" spans="1:18" x14ac:dyDescent="0.25">
      <c r="A699" t="s">
        <v>262</v>
      </c>
      <c r="B699" s="96">
        <v>44841</v>
      </c>
      <c r="C699" s="312">
        <v>4971</v>
      </c>
      <c r="D699" s="312">
        <v>7269</v>
      </c>
      <c r="E699" s="312">
        <v>14746</v>
      </c>
      <c r="F699" s="312">
        <v>7984</v>
      </c>
      <c r="G699" s="99"/>
      <c r="H699" s="122"/>
      <c r="I699" s="122"/>
      <c r="L699" s="122">
        <v>3904.0369999999998</v>
      </c>
      <c r="N699" s="196">
        <v>44895</v>
      </c>
      <c r="O699">
        <v>11771</v>
      </c>
      <c r="P699">
        <v>8821</v>
      </c>
      <c r="Q699">
        <v>5411</v>
      </c>
      <c r="R699">
        <v>8480</v>
      </c>
    </row>
    <row r="700" spans="1:18" x14ac:dyDescent="0.25">
      <c r="A700" t="s">
        <v>262</v>
      </c>
      <c r="B700" s="96">
        <v>44844</v>
      </c>
      <c r="C700" s="312">
        <v>4853</v>
      </c>
      <c r="D700" s="312">
        <v>7058</v>
      </c>
      <c r="E700" s="312">
        <v>14252</v>
      </c>
      <c r="F700" s="312">
        <v>8445</v>
      </c>
      <c r="G700" s="99"/>
      <c r="H700" s="122"/>
      <c r="I700" s="122"/>
      <c r="L700" s="122">
        <v>3657.18</v>
      </c>
      <c r="N700" s="196">
        <v>44896</v>
      </c>
      <c r="O700">
        <v>11808</v>
      </c>
      <c r="P700">
        <v>8707</v>
      </c>
      <c r="Q700">
        <v>5388</v>
      </c>
      <c r="R700">
        <v>8528</v>
      </c>
    </row>
    <row r="701" spans="1:18" x14ac:dyDescent="0.25">
      <c r="A701" t="s">
        <v>262</v>
      </c>
      <c r="B701" s="96">
        <v>44845</v>
      </c>
      <c r="C701" s="312">
        <v>4913</v>
      </c>
      <c r="D701" s="312">
        <v>7406</v>
      </c>
      <c r="E701" s="312">
        <v>14195</v>
      </c>
      <c r="F701" s="312">
        <v>8581</v>
      </c>
      <c r="G701" s="99"/>
      <c r="H701" s="122"/>
      <c r="I701" s="122"/>
      <c r="L701" s="122">
        <v>3895.4470000000001</v>
      </c>
      <c r="N701" s="196">
        <v>44897</v>
      </c>
      <c r="O701">
        <v>11584</v>
      </c>
      <c r="P701">
        <v>8627</v>
      </c>
      <c r="Q701">
        <v>5512</v>
      </c>
      <c r="R701">
        <v>8449</v>
      </c>
    </row>
    <row r="702" spans="1:18" x14ac:dyDescent="0.25">
      <c r="A702" t="s">
        <v>262</v>
      </c>
      <c r="B702" s="96">
        <v>44846</v>
      </c>
      <c r="C702" s="312">
        <v>4783</v>
      </c>
      <c r="D702" s="312">
        <v>7489</v>
      </c>
      <c r="E702" s="312">
        <v>14296</v>
      </c>
      <c r="F702" s="312">
        <v>8727</v>
      </c>
      <c r="G702" s="99"/>
      <c r="H702" s="122"/>
      <c r="I702" s="122"/>
      <c r="L702" s="122">
        <v>3801.0619999999999</v>
      </c>
      <c r="N702" s="196">
        <v>44900</v>
      </c>
      <c r="O702">
        <v>10987</v>
      </c>
      <c r="P702">
        <v>8300</v>
      </c>
      <c r="Q702">
        <v>5396</v>
      </c>
      <c r="R702">
        <v>8097</v>
      </c>
    </row>
    <row r="703" spans="1:18" x14ac:dyDescent="0.25">
      <c r="A703" t="s">
        <v>262</v>
      </c>
      <c r="B703" s="96">
        <v>44847</v>
      </c>
      <c r="C703" s="312">
        <v>4898</v>
      </c>
      <c r="D703" s="312">
        <v>7549</v>
      </c>
      <c r="E703" s="312">
        <v>14235</v>
      </c>
      <c r="F703" s="312">
        <v>8542</v>
      </c>
      <c r="G703" s="99"/>
      <c r="H703" s="122"/>
      <c r="I703" s="122"/>
      <c r="L703" s="122">
        <v>3790</v>
      </c>
      <c r="N703" s="196">
        <v>44901</v>
      </c>
      <c r="O703">
        <v>11099</v>
      </c>
      <c r="P703">
        <v>8382</v>
      </c>
      <c r="Q703">
        <v>5357</v>
      </c>
      <c r="R703">
        <v>8192</v>
      </c>
    </row>
    <row r="704" spans="1:18" x14ac:dyDescent="0.25">
      <c r="A704" t="s">
        <v>262</v>
      </c>
      <c r="B704" s="96">
        <v>44848</v>
      </c>
      <c r="C704" s="312">
        <v>4893</v>
      </c>
      <c r="D704" s="312">
        <v>7367</v>
      </c>
      <c r="E704" s="312">
        <v>14425</v>
      </c>
      <c r="F704" s="312">
        <v>8324</v>
      </c>
      <c r="G704" s="99"/>
      <c r="H704" s="122"/>
      <c r="I704" s="122"/>
      <c r="L704" s="122">
        <v>3819.5390000000002</v>
      </c>
      <c r="N704" s="196">
        <v>44903</v>
      </c>
      <c r="O704">
        <v>11012</v>
      </c>
      <c r="P704">
        <v>8492</v>
      </c>
      <c r="Q704">
        <v>5278</v>
      </c>
      <c r="R704">
        <v>8199</v>
      </c>
    </row>
    <row r="705" spans="1:18" x14ac:dyDescent="0.25">
      <c r="A705" t="s">
        <v>262</v>
      </c>
      <c r="B705" s="348">
        <v>44851</v>
      </c>
      <c r="C705" s="312">
        <v>4806</v>
      </c>
      <c r="D705" s="312">
        <v>7098</v>
      </c>
      <c r="E705" s="312">
        <v>14084</v>
      </c>
      <c r="F705" s="312">
        <v>7976</v>
      </c>
      <c r="G705" s="99"/>
      <c r="H705" s="122"/>
      <c r="I705" s="122"/>
      <c r="L705" s="122">
        <v>3607</v>
      </c>
      <c r="N705" s="196">
        <v>44904</v>
      </c>
      <c r="O705">
        <v>10990</v>
      </c>
      <c r="P705">
        <v>8427</v>
      </c>
      <c r="Q705">
        <v>5114</v>
      </c>
      <c r="R705">
        <v>8448</v>
      </c>
    </row>
    <row r="706" spans="1:18" x14ac:dyDescent="0.25">
      <c r="A706" t="s">
        <v>262</v>
      </c>
      <c r="B706" s="96">
        <v>44852</v>
      </c>
      <c r="C706" s="312">
        <v>4726</v>
      </c>
      <c r="D706" s="312">
        <v>7238</v>
      </c>
      <c r="E706" s="312">
        <v>14160</v>
      </c>
      <c r="F706" s="312">
        <v>8036</v>
      </c>
      <c r="G706" s="99"/>
      <c r="H706" s="122"/>
      <c r="I706" s="122"/>
      <c r="L706" s="122">
        <v>3660</v>
      </c>
      <c r="N706" s="196">
        <v>44907</v>
      </c>
      <c r="O706">
        <v>10898</v>
      </c>
      <c r="P706">
        <v>8036</v>
      </c>
      <c r="Q706">
        <v>5108</v>
      </c>
      <c r="R706">
        <v>8076</v>
      </c>
    </row>
    <row r="707" spans="1:18" x14ac:dyDescent="0.25">
      <c r="A707" t="s">
        <v>262</v>
      </c>
      <c r="B707" s="348">
        <v>44853</v>
      </c>
      <c r="C707" s="312">
        <v>4600</v>
      </c>
      <c r="D707" s="312">
        <v>7114</v>
      </c>
      <c r="E707" s="312">
        <v>13959</v>
      </c>
      <c r="F707" s="312">
        <v>7996</v>
      </c>
      <c r="G707" s="99"/>
      <c r="H707" s="122"/>
      <c r="I707" s="122"/>
      <c r="L707" s="122">
        <v>3639</v>
      </c>
      <c r="N707" s="196">
        <v>44908</v>
      </c>
      <c r="O707">
        <v>10783</v>
      </c>
      <c r="P707">
        <v>8161</v>
      </c>
      <c r="Q707">
        <v>4863</v>
      </c>
      <c r="R707">
        <v>8187</v>
      </c>
    </row>
    <row r="708" spans="1:18" x14ac:dyDescent="0.25">
      <c r="A708" t="s">
        <v>262</v>
      </c>
      <c r="B708" s="348">
        <v>44854</v>
      </c>
      <c r="C708" s="312">
        <v>4613</v>
      </c>
      <c r="D708" s="438">
        <v>7153</v>
      </c>
      <c r="E708" s="438">
        <v>13790</v>
      </c>
      <c r="F708" s="312">
        <v>7855</v>
      </c>
      <c r="G708" s="436"/>
      <c r="H708" s="437"/>
      <c r="I708" s="437"/>
      <c r="L708" s="122">
        <v>3634</v>
      </c>
      <c r="N708" s="196">
        <v>44909</v>
      </c>
      <c r="O708">
        <v>10401</v>
      </c>
      <c r="P708">
        <v>8297</v>
      </c>
      <c r="Q708">
        <v>5028</v>
      </c>
      <c r="R708">
        <v>8306</v>
      </c>
    </row>
    <row r="709" spans="1:18" x14ac:dyDescent="0.25">
      <c r="A709" t="s">
        <v>262</v>
      </c>
      <c r="B709" s="348">
        <v>44855</v>
      </c>
      <c r="C709" s="312">
        <v>4811</v>
      </c>
      <c r="D709" s="438">
        <v>7062</v>
      </c>
      <c r="E709" s="438">
        <v>13987</v>
      </c>
      <c r="F709" s="312">
        <v>7869</v>
      </c>
      <c r="G709" s="436"/>
      <c r="H709" s="437"/>
      <c r="I709" s="437"/>
      <c r="L709" s="122">
        <v>3771</v>
      </c>
      <c r="N709" s="196">
        <v>44910</v>
      </c>
      <c r="O709">
        <v>10302</v>
      </c>
      <c r="P709">
        <v>8155</v>
      </c>
      <c r="Q709">
        <v>4961</v>
      </c>
      <c r="R709">
        <v>8349</v>
      </c>
    </row>
    <row r="710" spans="1:18" x14ac:dyDescent="0.25">
      <c r="A710" t="s">
        <v>262</v>
      </c>
      <c r="B710" s="348">
        <v>44858</v>
      </c>
      <c r="C710" s="312">
        <v>4850</v>
      </c>
      <c r="D710" s="312">
        <v>6938</v>
      </c>
      <c r="E710" s="312">
        <v>13694</v>
      </c>
      <c r="F710" s="312">
        <v>7952</v>
      </c>
      <c r="G710" s="99"/>
      <c r="H710" s="122"/>
      <c r="I710" s="122"/>
      <c r="L710" s="122">
        <v>3370</v>
      </c>
      <c r="N710" s="196">
        <v>44911</v>
      </c>
      <c r="O710">
        <v>10151</v>
      </c>
      <c r="P710">
        <v>8257</v>
      </c>
      <c r="Q710">
        <v>5223</v>
      </c>
      <c r="R710">
        <v>8261</v>
      </c>
    </row>
    <row r="711" spans="1:18" x14ac:dyDescent="0.25">
      <c r="A711" t="s">
        <v>262</v>
      </c>
      <c r="B711" s="348">
        <v>44859</v>
      </c>
      <c r="C711" s="312">
        <v>4920</v>
      </c>
      <c r="D711" s="312">
        <v>7209</v>
      </c>
      <c r="E711" s="312">
        <v>13723</v>
      </c>
      <c r="F711" s="312">
        <v>8185</v>
      </c>
      <c r="G711" s="99"/>
      <c r="H711" s="122"/>
      <c r="I711" s="122"/>
      <c r="L711" s="122">
        <v>3479</v>
      </c>
      <c r="N711" s="196">
        <v>44914</v>
      </c>
      <c r="O711">
        <v>10110</v>
      </c>
      <c r="P711">
        <v>8062</v>
      </c>
      <c r="Q711">
        <v>4840</v>
      </c>
      <c r="R711">
        <v>8060</v>
      </c>
    </row>
    <row r="712" spans="1:18" x14ac:dyDescent="0.25">
      <c r="A712" t="s">
        <v>262</v>
      </c>
      <c r="B712" s="348">
        <v>44860</v>
      </c>
      <c r="C712" s="312">
        <v>5217</v>
      </c>
      <c r="D712" s="312">
        <v>7519</v>
      </c>
      <c r="E712" s="312">
        <v>13755</v>
      </c>
      <c r="F712" s="312">
        <v>8311</v>
      </c>
      <c r="G712" s="99"/>
      <c r="H712" s="122"/>
      <c r="I712" s="122"/>
      <c r="L712" s="122">
        <v>3394</v>
      </c>
      <c r="N712" s="196">
        <v>44915</v>
      </c>
      <c r="O712">
        <v>10077</v>
      </c>
      <c r="P712">
        <v>8062</v>
      </c>
      <c r="Q712">
        <v>4643</v>
      </c>
      <c r="R712">
        <v>8078</v>
      </c>
    </row>
    <row r="713" spans="1:18" x14ac:dyDescent="0.25">
      <c r="A713" t="s">
        <v>262</v>
      </c>
      <c r="B713" s="348">
        <v>44861</v>
      </c>
      <c r="C713" s="312">
        <v>5299</v>
      </c>
      <c r="D713" s="312">
        <v>7752</v>
      </c>
      <c r="E713" s="312">
        <v>13778</v>
      </c>
      <c r="F713" s="312">
        <v>8233</v>
      </c>
      <c r="G713" s="99"/>
      <c r="H713" s="122"/>
      <c r="I713" s="122"/>
      <c r="L713" s="122">
        <v>3371</v>
      </c>
      <c r="N713" s="196">
        <v>44917</v>
      </c>
      <c r="O713">
        <v>9509</v>
      </c>
      <c r="P713">
        <v>8243</v>
      </c>
      <c r="Q713">
        <v>4123</v>
      </c>
      <c r="R713">
        <v>8118</v>
      </c>
    </row>
    <row r="714" spans="1:18" x14ac:dyDescent="0.25">
      <c r="A714" t="s">
        <v>262</v>
      </c>
      <c r="B714" s="348">
        <v>44862</v>
      </c>
      <c r="C714" s="312">
        <v>5574</v>
      </c>
      <c r="D714" s="438">
        <v>7844</v>
      </c>
      <c r="E714" s="438">
        <v>13796</v>
      </c>
      <c r="F714" s="312">
        <v>8241</v>
      </c>
      <c r="G714" s="436"/>
      <c r="H714" s="437"/>
      <c r="I714" s="437"/>
      <c r="L714" s="122">
        <v>3471</v>
      </c>
      <c r="N714" s="196">
        <v>44918</v>
      </c>
      <c r="O714">
        <v>9080</v>
      </c>
      <c r="P714">
        <v>8238</v>
      </c>
      <c r="Q714">
        <v>4120</v>
      </c>
      <c r="R714">
        <v>8168</v>
      </c>
    </row>
    <row r="715" spans="1:18" x14ac:dyDescent="0.25">
      <c r="A715" t="s">
        <v>262</v>
      </c>
      <c r="B715" s="348">
        <v>44865</v>
      </c>
      <c r="C715" s="312">
        <v>5717</v>
      </c>
      <c r="D715" s="438">
        <v>7910</v>
      </c>
      <c r="E715" s="438">
        <v>13016</v>
      </c>
      <c r="F715" s="312">
        <v>8102</v>
      </c>
      <c r="G715" s="436"/>
      <c r="H715" s="437"/>
      <c r="I715" s="437"/>
      <c r="L715" s="122">
        <v>3251</v>
      </c>
      <c r="N715" s="196">
        <v>44922</v>
      </c>
      <c r="O715">
        <v>8706</v>
      </c>
      <c r="P715">
        <v>8036</v>
      </c>
      <c r="Q715">
        <v>4380</v>
      </c>
      <c r="R715">
        <v>8081</v>
      </c>
    </row>
    <row r="716" spans="1:18" x14ac:dyDescent="0.25">
      <c r="A716" t="s">
        <v>263</v>
      </c>
      <c r="B716" s="348">
        <v>44866</v>
      </c>
      <c r="C716" s="312">
        <v>5800</v>
      </c>
      <c r="D716" s="312">
        <v>8012</v>
      </c>
      <c r="E716" s="312">
        <v>12341</v>
      </c>
      <c r="F716" s="312">
        <v>8183</v>
      </c>
      <c r="G716" s="99"/>
      <c r="H716" s="122"/>
      <c r="I716" s="122"/>
      <c r="L716" s="122">
        <v>3380</v>
      </c>
      <c r="N716" s="196">
        <v>44923</v>
      </c>
      <c r="O716">
        <v>8610</v>
      </c>
      <c r="P716">
        <v>8269</v>
      </c>
      <c r="Q716">
        <v>4371</v>
      </c>
      <c r="R716">
        <v>7997</v>
      </c>
    </row>
    <row r="717" spans="1:18" x14ac:dyDescent="0.25">
      <c r="A717" t="s">
        <v>263</v>
      </c>
      <c r="B717" s="348">
        <v>44867</v>
      </c>
      <c r="C717" s="312">
        <v>5672</v>
      </c>
      <c r="D717" s="438">
        <v>8109</v>
      </c>
      <c r="E717" s="438">
        <v>12475</v>
      </c>
      <c r="F717" s="312">
        <v>8061</v>
      </c>
      <c r="G717" s="436"/>
      <c r="H717" s="437"/>
      <c r="I717" s="437"/>
      <c r="L717" s="122">
        <v>3436</v>
      </c>
      <c r="N717" s="196">
        <v>44924</v>
      </c>
      <c r="O717">
        <v>8942</v>
      </c>
      <c r="P717">
        <v>8376</v>
      </c>
      <c r="Q717">
        <v>4355</v>
      </c>
      <c r="R717">
        <v>7970</v>
      </c>
    </row>
    <row r="718" spans="1:18" x14ac:dyDescent="0.25">
      <c r="A718" t="s">
        <v>263</v>
      </c>
      <c r="B718" s="348">
        <v>44868</v>
      </c>
      <c r="C718" s="312">
        <v>5633</v>
      </c>
      <c r="D718" s="438">
        <v>8174</v>
      </c>
      <c r="E718" s="438">
        <v>12230</v>
      </c>
      <c r="F718" s="312">
        <v>8133</v>
      </c>
      <c r="G718" s="436"/>
      <c r="H718" s="437"/>
      <c r="I718" s="437"/>
      <c r="L718" s="122">
        <v>3385</v>
      </c>
      <c r="N718" s="196">
        <v>44925</v>
      </c>
      <c r="O718">
        <v>9533</v>
      </c>
      <c r="P718">
        <v>8250</v>
      </c>
      <c r="Q718">
        <v>4420</v>
      </c>
      <c r="R718">
        <v>7868</v>
      </c>
    </row>
    <row r="719" spans="1:18" x14ac:dyDescent="0.25">
      <c r="A719" t="s">
        <v>263</v>
      </c>
      <c r="B719" s="348">
        <v>44869</v>
      </c>
      <c r="C719" s="312">
        <v>5876</v>
      </c>
      <c r="D719" s="438">
        <v>8129</v>
      </c>
      <c r="E719" s="438">
        <v>12306</v>
      </c>
      <c r="F719" s="312">
        <v>8083</v>
      </c>
      <c r="G719" s="436"/>
      <c r="H719" s="437"/>
      <c r="I719" s="437"/>
      <c r="L719" s="122">
        <v>3562</v>
      </c>
      <c r="N719" s="196">
        <v>44928</v>
      </c>
      <c r="O719">
        <v>9718</v>
      </c>
      <c r="P719">
        <v>8142</v>
      </c>
      <c r="Q719">
        <v>4703</v>
      </c>
      <c r="R719">
        <v>7726</v>
      </c>
    </row>
    <row r="720" spans="1:18" x14ac:dyDescent="0.25">
      <c r="A720" t="s">
        <v>263</v>
      </c>
      <c r="B720" s="348">
        <v>44873</v>
      </c>
      <c r="C720" s="312">
        <v>5767</v>
      </c>
      <c r="D720" s="438">
        <v>7979</v>
      </c>
      <c r="E720" s="438">
        <v>11943</v>
      </c>
      <c r="F720" s="312">
        <v>7982</v>
      </c>
      <c r="G720" s="436"/>
      <c r="H720" s="437"/>
      <c r="I720" s="437"/>
      <c r="L720" s="122">
        <v>3399</v>
      </c>
      <c r="N720" s="196">
        <v>44929</v>
      </c>
      <c r="O720">
        <v>9718</v>
      </c>
      <c r="P720">
        <v>8145</v>
      </c>
      <c r="Q720">
        <v>4454</v>
      </c>
      <c r="R720">
        <v>7726</v>
      </c>
    </row>
    <row r="721" spans="1:18" x14ac:dyDescent="0.25">
      <c r="A721" t="s">
        <v>263</v>
      </c>
      <c r="B721" s="348">
        <v>44874</v>
      </c>
      <c r="C721" s="312">
        <v>5641</v>
      </c>
      <c r="D721" s="312">
        <v>8089</v>
      </c>
      <c r="E721" s="312">
        <v>11765</v>
      </c>
      <c r="F721" s="312">
        <v>8116</v>
      </c>
      <c r="G721" s="99"/>
      <c r="H721" s="122"/>
      <c r="I721" s="122"/>
      <c r="L721" s="122">
        <v>3517</v>
      </c>
      <c r="N721" s="196">
        <v>44930</v>
      </c>
      <c r="O721">
        <v>9911</v>
      </c>
      <c r="P721">
        <v>8298</v>
      </c>
      <c r="Q721">
        <v>4569</v>
      </c>
      <c r="R721">
        <v>8004</v>
      </c>
    </row>
    <row r="722" spans="1:18" x14ac:dyDescent="0.25">
      <c r="A722" t="s">
        <v>263</v>
      </c>
      <c r="B722" s="348">
        <v>44875</v>
      </c>
      <c r="C722" s="312">
        <v>5331</v>
      </c>
      <c r="D722" s="312">
        <v>8309</v>
      </c>
      <c r="E722" s="312">
        <v>11967</v>
      </c>
      <c r="F722" s="312">
        <v>8198</v>
      </c>
      <c r="G722" s="99"/>
      <c r="H722" s="122"/>
      <c r="I722" s="122"/>
      <c r="L722" s="122">
        <v>3406</v>
      </c>
      <c r="N722" s="196">
        <v>44931</v>
      </c>
      <c r="O722">
        <v>9872</v>
      </c>
      <c r="P722">
        <v>8112</v>
      </c>
      <c r="Q722">
        <v>4630</v>
      </c>
      <c r="R722">
        <v>8026</v>
      </c>
    </row>
    <row r="723" spans="1:18" x14ac:dyDescent="0.25">
      <c r="A723" t="s">
        <v>263</v>
      </c>
      <c r="B723" s="348">
        <v>44876</v>
      </c>
      <c r="C723" s="312">
        <v>5232</v>
      </c>
      <c r="D723" s="312">
        <v>8449</v>
      </c>
      <c r="E723" s="312">
        <v>12450</v>
      </c>
      <c r="F723" s="312">
        <v>8264</v>
      </c>
      <c r="G723" s="99"/>
      <c r="H723" s="122"/>
      <c r="I723" s="122"/>
      <c r="L723" s="122">
        <v>3325</v>
      </c>
      <c r="N723" s="196">
        <v>44935</v>
      </c>
      <c r="O723">
        <v>9496</v>
      </c>
      <c r="P723">
        <v>7734</v>
      </c>
      <c r="Q723">
        <v>4557</v>
      </c>
      <c r="R723">
        <v>7827</v>
      </c>
    </row>
    <row r="724" spans="1:18" x14ac:dyDescent="0.25">
      <c r="A724" t="s">
        <v>263</v>
      </c>
      <c r="B724" s="313">
        <v>44880</v>
      </c>
      <c r="C724" s="314">
        <v>5495</v>
      </c>
      <c r="D724" s="314">
        <v>8562</v>
      </c>
      <c r="E724" s="314">
        <v>12183</v>
      </c>
      <c r="F724" s="314">
        <v>8083</v>
      </c>
      <c r="G724" s="99"/>
      <c r="H724" s="122"/>
      <c r="I724" s="122"/>
      <c r="L724" s="122">
        <v>3048</v>
      </c>
      <c r="N724" s="196">
        <v>44936</v>
      </c>
      <c r="O724">
        <v>9586</v>
      </c>
      <c r="P724">
        <v>7816</v>
      </c>
      <c r="Q724">
        <v>4649</v>
      </c>
      <c r="R724">
        <v>7917</v>
      </c>
    </row>
    <row r="725" spans="1:18" x14ac:dyDescent="0.25">
      <c r="A725" t="s">
        <v>263</v>
      </c>
      <c r="B725" s="348">
        <v>44881</v>
      </c>
      <c r="C725" s="312">
        <v>5482</v>
      </c>
      <c r="D725" s="438">
        <v>8676</v>
      </c>
      <c r="E725" s="438">
        <v>12133</v>
      </c>
      <c r="F725" s="312">
        <v>8049</v>
      </c>
      <c r="G725" s="436"/>
      <c r="H725" s="437"/>
      <c r="I725" s="437"/>
      <c r="L725" s="122">
        <v>3028</v>
      </c>
      <c r="N725" s="196">
        <v>44937</v>
      </c>
      <c r="O725">
        <v>9842</v>
      </c>
      <c r="P725">
        <v>7726</v>
      </c>
      <c r="Q725">
        <v>4767</v>
      </c>
      <c r="R725">
        <v>8092</v>
      </c>
    </row>
    <row r="726" spans="1:18" x14ac:dyDescent="0.25">
      <c r="A726" t="s">
        <v>263</v>
      </c>
      <c r="B726" s="348">
        <v>44882</v>
      </c>
      <c r="C726" s="312">
        <v>5456</v>
      </c>
      <c r="D726" s="438">
        <v>8652</v>
      </c>
      <c r="E726" s="438">
        <v>12155</v>
      </c>
      <c r="F726" s="312">
        <v>8155</v>
      </c>
      <c r="G726" s="436"/>
      <c r="H726" s="437"/>
      <c r="I726" s="437"/>
      <c r="L726" s="122">
        <v>3121</v>
      </c>
      <c r="N726" s="196">
        <v>44938</v>
      </c>
      <c r="O726">
        <v>9917</v>
      </c>
      <c r="P726">
        <v>7652</v>
      </c>
      <c r="Q726">
        <v>4811</v>
      </c>
      <c r="R726">
        <v>8102</v>
      </c>
    </row>
    <row r="727" spans="1:18" x14ac:dyDescent="0.25">
      <c r="A727" t="s">
        <v>263</v>
      </c>
      <c r="B727" s="348">
        <v>44883</v>
      </c>
      <c r="C727" s="312">
        <v>5502</v>
      </c>
      <c r="D727" s="438">
        <v>8770</v>
      </c>
      <c r="E727" s="438">
        <v>11711</v>
      </c>
      <c r="F727" s="312">
        <v>8246</v>
      </c>
      <c r="G727" s="436"/>
      <c r="H727" s="437"/>
      <c r="I727" s="437"/>
      <c r="L727" s="122">
        <v>3031</v>
      </c>
      <c r="N727" s="196">
        <v>44939</v>
      </c>
      <c r="O727">
        <v>10166</v>
      </c>
      <c r="P727">
        <v>7668</v>
      </c>
      <c r="Q727">
        <v>4969</v>
      </c>
      <c r="R727">
        <v>8111</v>
      </c>
    </row>
    <row r="728" spans="1:18" x14ac:dyDescent="0.25">
      <c r="A728" t="s">
        <v>263</v>
      </c>
      <c r="B728" s="348">
        <v>44886</v>
      </c>
      <c r="C728" s="312">
        <v>5614</v>
      </c>
      <c r="D728" s="312">
        <v>8674</v>
      </c>
      <c r="E728" s="312">
        <v>11813</v>
      </c>
      <c r="F728" s="312">
        <v>8180</v>
      </c>
      <c r="G728" s="99"/>
      <c r="H728" s="122"/>
      <c r="I728" s="122"/>
      <c r="L728" s="122">
        <v>2989</v>
      </c>
      <c r="N728" s="196">
        <v>44942</v>
      </c>
      <c r="O728">
        <v>10141</v>
      </c>
      <c r="P728">
        <v>7407</v>
      </c>
      <c r="Q728">
        <v>5066</v>
      </c>
      <c r="R728">
        <v>7918</v>
      </c>
    </row>
    <row r="729" spans="1:18" x14ac:dyDescent="0.25">
      <c r="A729" t="s">
        <v>263</v>
      </c>
      <c r="B729" s="348">
        <v>44887</v>
      </c>
      <c r="C729" s="312">
        <v>5504</v>
      </c>
      <c r="D729" s="312">
        <v>8774</v>
      </c>
      <c r="E729" s="312">
        <v>12145</v>
      </c>
      <c r="F729" s="312">
        <v>8381</v>
      </c>
      <c r="G729" s="99"/>
      <c r="H729" s="122"/>
      <c r="I729" s="122"/>
      <c r="L729" s="122">
        <v>3072</v>
      </c>
      <c r="N729" s="196">
        <v>44943</v>
      </c>
      <c r="O729">
        <v>10175</v>
      </c>
      <c r="P729">
        <v>7446</v>
      </c>
      <c r="Q729">
        <v>4903</v>
      </c>
      <c r="R729">
        <v>8053</v>
      </c>
    </row>
    <row r="730" spans="1:18" x14ac:dyDescent="0.25">
      <c r="A730" t="s">
        <v>263</v>
      </c>
      <c r="B730" s="348">
        <v>44888</v>
      </c>
      <c r="C730" s="312">
        <v>5524</v>
      </c>
      <c r="D730" s="312">
        <v>8913</v>
      </c>
      <c r="E730" s="312">
        <v>12194</v>
      </c>
      <c r="F730" s="312">
        <v>8518</v>
      </c>
      <c r="G730" s="99"/>
      <c r="H730" s="122"/>
      <c r="I730" s="122"/>
      <c r="L730" s="122">
        <v>3191</v>
      </c>
      <c r="N730" s="196">
        <v>44944</v>
      </c>
      <c r="O730">
        <v>9857</v>
      </c>
      <c r="P730">
        <v>7429</v>
      </c>
      <c r="Q730">
        <v>5022</v>
      </c>
      <c r="R730">
        <v>7842</v>
      </c>
    </row>
    <row r="731" spans="1:18" x14ac:dyDescent="0.25">
      <c r="A731" t="s">
        <v>263</v>
      </c>
      <c r="B731" s="348">
        <v>44889</v>
      </c>
      <c r="C731" s="312">
        <v>5541</v>
      </c>
      <c r="D731" s="312">
        <v>8914</v>
      </c>
      <c r="E731" s="312">
        <v>12334</v>
      </c>
      <c r="F731" s="332">
        <v>8426</v>
      </c>
      <c r="G731" s="99"/>
      <c r="H731" s="122"/>
      <c r="I731" s="122"/>
      <c r="L731" s="122">
        <v>3242</v>
      </c>
      <c r="N731" s="196">
        <v>44945</v>
      </c>
      <c r="O731">
        <v>10161</v>
      </c>
      <c r="P731">
        <v>7466</v>
      </c>
      <c r="Q731">
        <v>5070</v>
      </c>
      <c r="R731">
        <v>7655</v>
      </c>
    </row>
    <row r="732" spans="1:18" x14ac:dyDescent="0.25">
      <c r="A732" t="s">
        <v>263</v>
      </c>
      <c r="B732" s="348">
        <v>44890</v>
      </c>
      <c r="C732" s="312">
        <v>5420</v>
      </c>
      <c r="D732" s="312">
        <v>8925</v>
      </c>
      <c r="E732" s="312">
        <v>11812</v>
      </c>
      <c r="F732" s="312">
        <v>8486</v>
      </c>
      <c r="G732" s="99"/>
      <c r="H732" s="122"/>
      <c r="I732" s="122"/>
      <c r="L732" s="122">
        <v>3114</v>
      </c>
      <c r="N732" s="196">
        <v>44946</v>
      </c>
      <c r="O732">
        <v>10387</v>
      </c>
      <c r="P732">
        <v>7465</v>
      </c>
      <c r="Q732">
        <v>5301</v>
      </c>
      <c r="R732">
        <v>7638</v>
      </c>
    </row>
    <row r="733" spans="1:18" x14ac:dyDescent="0.25">
      <c r="A733" t="s">
        <v>263</v>
      </c>
      <c r="B733" s="348">
        <v>44893</v>
      </c>
      <c r="C733" s="312">
        <v>5502</v>
      </c>
      <c r="D733" s="312">
        <v>8441</v>
      </c>
      <c r="E733" s="312">
        <v>11558</v>
      </c>
      <c r="F733" s="312">
        <v>8464</v>
      </c>
      <c r="G733" s="99"/>
      <c r="H733" s="122"/>
      <c r="I733" s="122"/>
      <c r="L733" s="122">
        <v>2860</v>
      </c>
      <c r="N733" s="196">
        <v>44949</v>
      </c>
      <c r="O733">
        <v>9385.8566000000028</v>
      </c>
      <c r="P733">
        <v>7465.1120000000001</v>
      </c>
      <c r="Q733">
        <v>5256.8794204000005</v>
      </c>
      <c r="R733">
        <v>7392.1948000000011</v>
      </c>
    </row>
    <row r="734" spans="1:18" x14ac:dyDescent="0.25">
      <c r="A734" t="s">
        <v>263</v>
      </c>
      <c r="B734" s="348">
        <v>44895</v>
      </c>
      <c r="C734" s="312">
        <v>5411</v>
      </c>
      <c r="D734" s="438">
        <v>8480</v>
      </c>
      <c r="E734" s="438">
        <v>11771</v>
      </c>
      <c r="F734" s="312">
        <v>8821</v>
      </c>
      <c r="G734" s="436"/>
      <c r="H734" s="437"/>
      <c r="I734" s="437"/>
      <c r="L734" s="122">
        <v>2860</v>
      </c>
      <c r="N734" s="196">
        <v>44950</v>
      </c>
      <c r="O734">
        <v>9732.8757000000005</v>
      </c>
      <c r="P734">
        <v>7573.4340000000002</v>
      </c>
      <c r="Q734">
        <v>5280.8305960999996</v>
      </c>
      <c r="R734">
        <v>7546.1088999999993</v>
      </c>
    </row>
    <row r="735" spans="1:18" x14ac:dyDescent="0.25">
      <c r="A735" t="s">
        <v>264</v>
      </c>
      <c r="B735" s="348">
        <v>44896</v>
      </c>
      <c r="C735" s="312">
        <v>5388</v>
      </c>
      <c r="D735" s="312">
        <v>8528</v>
      </c>
      <c r="E735" s="312">
        <v>11808</v>
      </c>
      <c r="F735" s="312">
        <v>8707</v>
      </c>
      <c r="G735" s="99"/>
      <c r="H735" s="122"/>
      <c r="I735" s="122"/>
      <c r="L735" s="122">
        <v>2845</v>
      </c>
      <c r="N735" s="196">
        <v>44951</v>
      </c>
      <c r="O735">
        <v>9641.5955999999987</v>
      </c>
      <c r="P735">
        <v>7685.973</v>
      </c>
      <c r="Q735">
        <v>5201.7446185000008</v>
      </c>
      <c r="R735">
        <v>7545.8979000000008</v>
      </c>
    </row>
    <row r="736" spans="1:18" x14ac:dyDescent="0.25">
      <c r="A736" t="s">
        <v>264</v>
      </c>
      <c r="B736" s="348">
        <v>44897</v>
      </c>
      <c r="C736" s="312">
        <v>5512</v>
      </c>
      <c r="D736" s="438">
        <v>8449</v>
      </c>
      <c r="E736" s="438">
        <v>11584</v>
      </c>
      <c r="F736" s="312">
        <v>8627</v>
      </c>
      <c r="G736" s="436"/>
      <c r="H736" s="437"/>
      <c r="I736" s="437"/>
      <c r="L736" s="122">
        <v>2894</v>
      </c>
      <c r="N736" s="196">
        <v>44952</v>
      </c>
      <c r="O736">
        <v>9524.6154000000024</v>
      </c>
      <c r="P736">
        <v>7757.2659999999996</v>
      </c>
      <c r="Q736">
        <v>5327.4541551999991</v>
      </c>
      <c r="R736">
        <v>7674.9698000000026</v>
      </c>
    </row>
    <row r="737" spans="1:18" x14ac:dyDescent="0.25">
      <c r="A737" t="s">
        <v>264</v>
      </c>
      <c r="B737" s="348">
        <v>44900</v>
      </c>
      <c r="C737" s="312">
        <v>5396</v>
      </c>
      <c r="D737" s="312">
        <v>8097</v>
      </c>
      <c r="E737" s="312">
        <v>10987</v>
      </c>
      <c r="F737" s="312">
        <v>8300</v>
      </c>
      <c r="G737" s="99"/>
      <c r="H737" s="122"/>
      <c r="I737" s="122"/>
      <c r="L737" s="122">
        <v>2663</v>
      </c>
      <c r="N737" s="196">
        <v>44953</v>
      </c>
      <c r="O737">
        <v>9759.1138999999985</v>
      </c>
      <c r="P737">
        <v>7718.6049999999996</v>
      </c>
      <c r="Q737">
        <v>5449.8080652999997</v>
      </c>
      <c r="R737">
        <v>7605.0029000000013</v>
      </c>
    </row>
    <row r="738" spans="1:18" x14ac:dyDescent="0.25">
      <c r="A738" t="s">
        <v>264</v>
      </c>
      <c r="B738" s="348">
        <v>44901</v>
      </c>
      <c r="C738" s="312">
        <v>5357</v>
      </c>
      <c r="D738" s="312">
        <v>8192</v>
      </c>
      <c r="E738" s="312">
        <v>11099</v>
      </c>
      <c r="F738" s="312">
        <v>8382</v>
      </c>
      <c r="G738" s="99"/>
      <c r="H738" s="122"/>
      <c r="I738" s="122"/>
      <c r="L738" s="122">
        <v>2697</v>
      </c>
      <c r="N738" s="196">
        <v>44956</v>
      </c>
      <c r="O738">
        <v>9284.0187000000005</v>
      </c>
      <c r="P738">
        <v>7657</v>
      </c>
      <c r="Q738">
        <v>5333.2075985999982</v>
      </c>
      <c r="R738">
        <v>7476.8239000000003</v>
      </c>
    </row>
    <row r="739" spans="1:18" x14ac:dyDescent="0.25">
      <c r="A739" t="s">
        <v>264</v>
      </c>
      <c r="B739" s="348">
        <v>44903</v>
      </c>
      <c r="C739" s="312">
        <v>5278</v>
      </c>
      <c r="D739" s="438">
        <v>8199</v>
      </c>
      <c r="E739" s="438">
        <v>11012</v>
      </c>
      <c r="F739" s="312">
        <v>8492</v>
      </c>
      <c r="G739" s="436"/>
      <c r="H739" s="437"/>
      <c r="I739" s="437"/>
      <c r="L739" s="122">
        <v>2705</v>
      </c>
      <c r="N739" s="196">
        <v>44957</v>
      </c>
      <c r="O739">
        <v>9193.4285999999975</v>
      </c>
      <c r="P739">
        <v>7771.0820000000003</v>
      </c>
      <c r="Q739">
        <v>5466.7061229999999</v>
      </c>
      <c r="R739">
        <v>7638.4749999999985</v>
      </c>
    </row>
    <row r="740" spans="1:18" x14ac:dyDescent="0.25">
      <c r="A740" t="s">
        <v>264</v>
      </c>
      <c r="B740" s="348">
        <v>44904</v>
      </c>
      <c r="C740" s="312">
        <v>5114</v>
      </c>
      <c r="D740" s="312">
        <v>8448</v>
      </c>
      <c r="E740" s="312">
        <v>10990</v>
      </c>
      <c r="F740" s="312">
        <v>8427</v>
      </c>
      <c r="G740" s="99"/>
      <c r="H740" s="122"/>
      <c r="I740" s="122"/>
      <c r="L740" s="122">
        <v>2801</v>
      </c>
      <c r="N740" s="196">
        <v>44958</v>
      </c>
      <c r="O740">
        <v>9357.8394999999982</v>
      </c>
      <c r="P740">
        <v>7837.3469999999998</v>
      </c>
      <c r="Q740">
        <v>5308.6689111999995</v>
      </c>
      <c r="R740">
        <v>7645.3568999999989</v>
      </c>
    </row>
    <row r="741" spans="1:18" x14ac:dyDescent="0.25">
      <c r="A741" t="s">
        <v>264</v>
      </c>
      <c r="B741" s="348">
        <v>44907</v>
      </c>
      <c r="C741" s="312">
        <v>5108</v>
      </c>
      <c r="D741" s="438">
        <v>8076</v>
      </c>
      <c r="E741" s="438">
        <v>10898</v>
      </c>
      <c r="F741" s="312">
        <v>8036</v>
      </c>
      <c r="G741" s="436"/>
      <c r="H741" s="437"/>
      <c r="I741" s="437"/>
      <c r="L741" s="122">
        <v>2763</v>
      </c>
      <c r="N741" s="196">
        <v>44959</v>
      </c>
      <c r="O741">
        <v>9429.3827999999994</v>
      </c>
      <c r="P741">
        <v>7885.9949999999999</v>
      </c>
      <c r="Q741">
        <v>4966.5306230000006</v>
      </c>
      <c r="R741">
        <v>7711.9098999999987</v>
      </c>
    </row>
    <row r="742" spans="1:18" x14ac:dyDescent="0.25">
      <c r="A742" t="s">
        <v>264</v>
      </c>
      <c r="B742" s="348">
        <v>44908</v>
      </c>
      <c r="C742" s="312">
        <v>4863</v>
      </c>
      <c r="D742" s="438">
        <v>8187</v>
      </c>
      <c r="E742" s="438">
        <v>10783</v>
      </c>
      <c r="F742" s="312">
        <v>8161</v>
      </c>
      <c r="G742" s="436"/>
      <c r="H742" s="437"/>
      <c r="I742" s="437"/>
      <c r="L742" s="122">
        <v>2899</v>
      </c>
      <c r="N742" s="196">
        <v>44960</v>
      </c>
      <c r="O742">
        <v>9404.0398999999998</v>
      </c>
      <c r="P742">
        <v>7978.6559999999999</v>
      </c>
      <c r="Q742">
        <v>5155.1202229999999</v>
      </c>
      <c r="R742">
        <v>7793.9929000000011</v>
      </c>
    </row>
    <row r="743" spans="1:18" x14ac:dyDescent="0.25">
      <c r="A743" t="s">
        <v>264</v>
      </c>
      <c r="B743" s="348">
        <v>44909</v>
      </c>
      <c r="C743" s="312">
        <v>5028</v>
      </c>
      <c r="D743" s="438">
        <v>8306</v>
      </c>
      <c r="E743" s="438">
        <v>10401</v>
      </c>
      <c r="F743" s="312">
        <v>8297</v>
      </c>
      <c r="G743" s="436"/>
      <c r="H743" s="437"/>
      <c r="I743" s="437"/>
      <c r="L743" s="122">
        <v>3124</v>
      </c>
      <c r="N743" s="196">
        <v>44963</v>
      </c>
      <c r="O743">
        <v>9272.0577000000012</v>
      </c>
      <c r="P743">
        <v>8090.6750000000002</v>
      </c>
      <c r="Q743">
        <v>4822.1186669999988</v>
      </c>
      <c r="R743">
        <v>7708.0339000000004</v>
      </c>
    </row>
    <row r="744" spans="1:18" x14ac:dyDescent="0.25">
      <c r="A744" t="s">
        <v>264</v>
      </c>
      <c r="B744" s="348">
        <v>44910</v>
      </c>
      <c r="C744" s="312">
        <v>4961</v>
      </c>
      <c r="D744" s="312">
        <v>8349</v>
      </c>
      <c r="E744" s="312">
        <v>10302</v>
      </c>
      <c r="F744" s="332">
        <v>8155</v>
      </c>
      <c r="G744" s="99"/>
      <c r="H744" s="122"/>
      <c r="I744" s="122"/>
      <c r="L744" s="122">
        <v>3239</v>
      </c>
      <c r="N744" s="196">
        <v>44964</v>
      </c>
      <c r="O744">
        <v>9277.6173000000017</v>
      </c>
      <c r="P744">
        <v>8272.4279999999999</v>
      </c>
      <c r="Q744">
        <v>4762.5360169999985</v>
      </c>
      <c r="R744">
        <v>7716.3130000000001</v>
      </c>
    </row>
    <row r="745" spans="1:18" x14ac:dyDescent="0.25">
      <c r="A745" t="s">
        <v>264</v>
      </c>
      <c r="B745" s="348">
        <v>44911</v>
      </c>
      <c r="C745" s="312">
        <v>5223</v>
      </c>
      <c r="D745" s="312">
        <v>8261</v>
      </c>
      <c r="E745" s="312">
        <v>10151</v>
      </c>
      <c r="F745" s="312">
        <v>8257</v>
      </c>
      <c r="G745" s="99"/>
      <c r="H745" s="122"/>
      <c r="I745" s="122"/>
      <c r="L745" s="122">
        <v>3185</v>
      </c>
      <c r="N745" s="196">
        <v>44965</v>
      </c>
      <c r="O745">
        <v>9531.9174999999977</v>
      </c>
      <c r="P745">
        <v>8365.2440000000006</v>
      </c>
      <c r="Q745">
        <v>4828.640786599999</v>
      </c>
      <c r="R745">
        <v>7872.74</v>
      </c>
    </row>
    <row r="746" spans="1:18" x14ac:dyDescent="0.25">
      <c r="A746" t="s">
        <v>264</v>
      </c>
      <c r="B746" s="348">
        <v>44914</v>
      </c>
      <c r="C746" s="312">
        <v>4840</v>
      </c>
      <c r="D746" s="438">
        <v>8060</v>
      </c>
      <c r="E746" s="438">
        <v>10110</v>
      </c>
      <c r="F746" s="332">
        <v>8062</v>
      </c>
      <c r="G746" s="436"/>
      <c r="H746" s="437"/>
      <c r="I746" s="437"/>
      <c r="L746" s="122">
        <v>3093</v>
      </c>
      <c r="N746" s="196">
        <v>44966</v>
      </c>
      <c r="O746">
        <v>9735.5318000000007</v>
      </c>
      <c r="P746">
        <v>8209.4660000000003</v>
      </c>
      <c r="Q746">
        <v>4723.9265720000003</v>
      </c>
      <c r="R746">
        <v>7981.5729999999967</v>
      </c>
    </row>
    <row r="747" spans="1:18" x14ac:dyDescent="0.25">
      <c r="A747" t="s">
        <v>264</v>
      </c>
      <c r="B747" s="348">
        <v>44915</v>
      </c>
      <c r="C747" s="312">
        <v>4643</v>
      </c>
      <c r="D747" s="312">
        <v>8078</v>
      </c>
      <c r="E747" s="312">
        <v>10077</v>
      </c>
      <c r="F747" s="332">
        <v>8062</v>
      </c>
      <c r="G747" s="99"/>
      <c r="H747" s="122"/>
      <c r="I747" s="122"/>
      <c r="L747" s="122">
        <v>3194</v>
      </c>
      <c r="N747" s="196">
        <v>44967</v>
      </c>
      <c r="O747">
        <v>9867.3722000000016</v>
      </c>
      <c r="P747">
        <v>8172.2779999999993</v>
      </c>
      <c r="Q747">
        <v>4581.0796469999987</v>
      </c>
      <c r="R747">
        <v>7879.0160000000005</v>
      </c>
    </row>
    <row r="748" spans="1:18" x14ac:dyDescent="0.25">
      <c r="A748" t="s">
        <v>264</v>
      </c>
      <c r="B748" s="348">
        <v>44917</v>
      </c>
      <c r="C748" s="312">
        <v>4123</v>
      </c>
      <c r="D748" s="438">
        <v>8118</v>
      </c>
      <c r="E748" s="438">
        <v>9509</v>
      </c>
      <c r="F748" s="332">
        <v>8243</v>
      </c>
      <c r="G748" s="436"/>
      <c r="H748" s="437"/>
      <c r="I748" s="437"/>
      <c r="L748" s="122">
        <v>3277</v>
      </c>
      <c r="N748" s="196">
        <v>44970</v>
      </c>
      <c r="O748">
        <v>9509.7607000000025</v>
      </c>
      <c r="P748">
        <v>8157.8919999999989</v>
      </c>
      <c r="Q748">
        <v>4173.080481</v>
      </c>
      <c r="R748">
        <v>7483.6110000000008</v>
      </c>
    </row>
    <row r="749" spans="1:18" x14ac:dyDescent="0.25">
      <c r="A749" t="s">
        <v>264</v>
      </c>
      <c r="B749" s="348">
        <v>44918</v>
      </c>
      <c r="C749" s="312">
        <v>4120</v>
      </c>
      <c r="D749" s="312">
        <v>8168</v>
      </c>
      <c r="E749" s="312">
        <v>9080</v>
      </c>
      <c r="F749" s="312">
        <v>8238</v>
      </c>
      <c r="G749" s="99"/>
      <c r="H749" s="122"/>
      <c r="I749" s="122"/>
      <c r="L749" s="122">
        <v>3256</v>
      </c>
      <c r="N749" s="196">
        <v>44971</v>
      </c>
      <c r="O749">
        <v>9604.0259000000005</v>
      </c>
      <c r="P749">
        <v>8244.6970000000001</v>
      </c>
      <c r="Q749">
        <v>4238.9759080000003</v>
      </c>
      <c r="R749">
        <v>7467.2239999999993</v>
      </c>
    </row>
    <row r="750" spans="1:18" x14ac:dyDescent="0.25">
      <c r="A750" t="s">
        <v>264</v>
      </c>
      <c r="B750" s="348">
        <v>44922</v>
      </c>
      <c r="C750" s="312">
        <v>4380</v>
      </c>
      <c r="D750" s="438">
        <v>8081</v>
      </c>
      <c r="E750" s="438">
        <v>8706</v>
      </c>
      <c r="F750" s="312">
        <v>8036</v>
      </c>
      <c r="G750" s="436"/>
      <c r="H750" s="437"/>
      <c r="I750" s="437"/>
      <c r="L750" s="122">
        <v>3379</v>
      </c>
      <c r="N750" s="196">
        <v>44972</v>
      </c>
      <c r="O750">
        <v>9651.2631000000001</v>
      </c>
      <c r="P750">
        <v>8225.5169999999998</v>
      </c>
      <c r="Q750">
        <v>4355.0633542999994</v>
      </c>
      <c r="R750">
        <v>7442.2339999999995</v>
      </c>
    </row>
    <row r="751" spans="1:18" x14ac:dyDescent="0.25">
      <c r="A751" t="s">
        <v>264</v>
      </c>
      <c r="B751" s="348">
        <v>44923</v>
      </c>
      <c r="C751" s="312">
        <v>4371</v>
      </c>
      <c r="D751" s="438">
        <v>7997</v>
      </c>
      <c r="E751" s="438">
        <v>8610</v>
      </c>
      <c r="F751" s="312">
        <v>8269</v>
      </c>
      <c r="G751" s="436"/>
      <c r="H751" s="437"/>
      <c r="I751" s="437"/>
      <c r="L751" s="122">
        <v>3499</v>
      </c>
      <c r="N751" s="196">
        <v>44973</v>
      </c>
      <c r="O751">
        <v>9515.9134999999987</v>
      </c>
      <c r="P751">
        <v>8093.3129999999992</v>
      </c>
      <c r="Q751">
        <v>4203.6958485999994</v>
      </c>
      <c r="R751">
        <v>7349.1009999999987</v>
      </c>
    </row>
    <row r="752" spans="1:18" x14ac:dyDescent="0.25">
      <c r="A752" t="s">
        <v>264</v>
      </c>
      <c r="B752" s="348">
        <v>44924</v>
      </c>
      <c r="C752" s="312">
        <v>4355</v>
      </c>
      <c r="D752" s="438">
        <v>7970</v>
      </c>
      <c r="E752" s="438">
        <v>8942</v>
      </c>
      <c r="F752" s="332">
        <v>8376</v>
      </c>
      <c r="G752" s="436"/>
      <c r="H752" s="437"/>
      <c r="I752" s="437"/>
      <c r="L752" s="122">
        <v>3530</v>
      </c>
      <c r="N752" s="196">
        <v>44974</v>
      </c>
      <c r="O752">
        <v>9604.6658999999981</v>
      </c>
      <c r="P752">
        <v>8088.168999999999</v>
      </c>
      <c r="Q752">
        <v>4231.8853079999999</v>
      </c>
      <c r="R752">
        <v>7438.690999999998</v>
      </c>
    </row>
    <row r="753" spans="1:18" x14ac:dyDescent="0.25">
      <c r="A753" t="s">
        <v>264</v>
      </c>
      <c r="B753" s="348">
        <v>44925</v>
      </c>
      <c r="C753" s="312">
        <v>4420</v>
      </c>
      <c r="D753" s="438">
        <v>7868</v>
      </c>
      <c r="E753" s="438">
        <v>9533</v>
      </c>
      <c r="F753" s="332">
        <v>8250</v>
      </c>
      <c r="G753" s="436"/>
      <c r="H753" s="437"/>
      <c r="I753" s="437"/>
      <c r="L753" s="122">
        <v>3530</v>
      </c>
      <c r="N753" s="196">
        <v>44977</v>
      </c>
      <c r="O753">
        <v>9577.6799000000028</v>
      </c>
      <c r="P753">
        <v>8192.1275000000005</v>
      </c>
      <c r="Q753">
        <v>4126.6613084000001</v>
      </c>
      <c r="R753">
        <v>7398.5009</v>
      </c>
    </row>
    <row r="754" spans="1:18" x14ac:dyDescent="0.25">
      <c r="A754" t="s">
        <v>265</v>
      </c>
      <c r="B754" s="348">
        <v>44928</v>
      </c>
      <c r="C754" s="312">
        <v>4703</v>
      </c>
      <c r="D754" s="438">
        <v>7726</v>
      </c>
      <c r="E754" s="438">
        <v>9718</v>
      </c>
      <c r="F754" s="332">
        <v>8142</v>
      </c>
      <c r="G754" s="436"/>
      <c r="H754" s="437"/>
      <c r="I754" s="437"/>
      <c r="L754" s="122">
        <v>3420</v>
      </c>
      <c r="N754" s="196">
        <v>44978</v>
      </c>
      <c r="O754">
        <v>9709.6698000000033</v>
      </c>
      <c r="P754">
        <v>8398.5215000000007</v>
      </c>
      <c r="Q754">
        <v>4112.1971629999998</v>
      </c>
      <c r="R754">
        <v>7479.4568999999992</v>
      </c>
    </row>
    <row r="755" spans="1:18" x14ac:dyDescent="0.25">
      <c r="A755" t="s">
        <v>265</v>
      </c>
      <c r="B755" s="348">
        <v>44929</v>
      </c>
      <c r="C755" s="312">
        <v>4454</v>
      </c>
      <c r="D755" s="312">
        <v>7726</v>
      </c>
      <c r="E755" s="312">
        <v>9718</v>
      </c>
      <c r="F755" s="332">
        <v>8145</v>
      </c>
      <c r="G755" s="99"/>
      <c r="H755" s="122"/>
      <c r="I755" s="122"/>
      <c r="L755" s="122">
        <v>3420</v>
      </c>
      <c r="N755" s="196">
        <v>44979</v>
      </c>
      <c r="O755">
        <v>9837.8232000000025</v>
      </c>
      <c r="P755">
        <v>8485.0295000000006</v>
      </c>
      <c r="Q755">
        <v>4321.2955867999999</v>
      </c>
      <c r="R755">
        <v>7452.0968000000003</v>
      </c>
    </row>
    <row r="756" spans="1:18" x14ac:dyDescent="0.25">
      <c r="A756" t="s">
        <v>265</v>
      </c>
      <c r="B756" s="348">
        <v>44930</v>
      </c>
      <c r="C756" s="312">
        <v>4569</v>
      </c>
      <c r="D756" s="312">
        <v>8004</v>
      </c>
      <c r="E756" s="312">
        <v>9911</v>
      </c>
      <c r="F756" s="332">
        <v>8298</v>
      </c>
      <c r="G756" s="99"/>
      <c r="H756" s="122"/>
      <c r="I756" s="122"/>
      <c r="L756" s="122">
        <v>3443</v>
      </c>
      <c r="N756" s="196">
        <v>44980</v>
      </c>
      <c r="O756">
        <v>9737.8243000000002</v>
      </c>
      <c r="P756">
        <v>8496.9495000000006</v>
      </c>
      <c r="Q756">
        <v>4093.0649214999989</v>
      </c>
      <c r="R756">
        <v>7452.0968000000003</v>
      </c>
    </row>
    <row r="757" spans="1:18" x14ac:dyDescent="0.25">
      <c r="A757" t="s">
        <v>265</v>
      </c>
      <c r="B757" s="348">
        <v>44931</v>
      </c>
      <c r="C757" s="312">
        <v>4630</v>
      </c>
      <c r="D757" s="438">
        <v>8026</v>
      </c>
      <c r="E757" s="438">
        <v>9872</v>
      </c>
      <c r="F757" s="332">
        <v>8112</v>
      </c>
      <c r="G757" s="436"/>
      <c r="H757" s="437"/>
      <c r="I757" s="437"/>
      <c r="L757" s="122">
        <v>3440</v>
      </c>
      <c r="N757" s="196">
        <v>44981</v>
      </c>
      <c r="O757">
        <v>9769.0147000000015</v>
      </c>
      <c r="P757">
        <v>8428.6574999999993</v>
      </c>
      <c r="Q757">
        <v>4089.4628528999997</v>
      </c>
      <c r="R757">
        <v>7637.4959999999983</v>
      </c>
    </row>
    <row r="758" spans="1:18" x14ac:dyDescent="0.25">
      <c r="A758" t="s">
        <v>265</v>
      </c>
      <c r="B758" s="348">
        <v>44935</v>
      </c>
      <c r="C758" s="312">
        <v>4557</v>
      </c>
      <c r="D758" s="312">
        <v>7827</v>
      </c>
      <c r="E758" s="312">
        <v>9496</v>
      </c>
      <c r="F758" s="332">
        <v>7734</v>
      </c>
      <c r="G758" s="99"/>
      <c r="H758" s="122"/>
      <c r="I758" s="122"/>
      <c r="L758" s="122">
        <v>3274</v>
      </c>
      <c r="N758" s="196">
        <v>44984</v>
      </c>
      <c r="O758">
        <v>9224.2665000000015</v>
      </c>
      <c r="P758">
        <v>8365.3935000000001</v>
      </c>
      <c r="Q758">
        <v>3933.9993596000004</v>
      </c>
      <c r="R758">
        <v>7613.4320000000007</v>
      </c>
    </row>
    <row r="759" spans="1:18" x14ac:dyDescent="0.25">
      <c r="A759" t="str">
        <f>TEXT(Table1[[#This Row],[Date]],"YYYY"&amp;"- "&amp;"MM")</f>
        <v>2023- 01</v>
      </c>
      <c r="B759" s="348">
        <v>44936</v>
      </c>
      <c r="C759" s="312">
        <v>4649</v>
      </c>
      <c r="D759" s="312">
        <v>7917</v>
      </c>
      <c r="E759" s="312">
        <v>9586</v>
      </c>
      <c r="F759" s="332">
        <v>7816</v>
      </c>
      <c r="G759" s="99"/>
      <c r="H759" s="122"/>
      <c r="I759" s="122"/>
      <c r="L759" s="122">
        <v>3368</v>
      </c>
      <c r="N759" s="196">
        <v>44985</v>
      </c>
      <c r="O759">
        <v>9293.7114000000001</v>
      </c>
      <c r="P759">
        <v>8531.2194999999992</v>
      </c>
      <c r="Q759">
        <v>3951.727766</v>
      </c>
      <c r="R759">
        <v>7676.4140000000007</v>
      </c>
    </row>
    <row r="760" spans="1:18" x14ac:dyDescent="0.25">
      <c r="A760" t="str">
        <f>TEXT(Table1[[#This Row],[Date]],"YYYY"&amp;"- "&amp;"MM")</f>
        <v>2023- 01</v>
      </c>
      <c r="B760" s="389">
        <v>44937</v>
      </c>
      <c r="C760" s="332">
        <v>4767</v>
      </c>
      <c r="D760" s="332">
        <v>8092</v>
      </c>
      <c r="E760" s="332">
        <v>9842</v>
      </c>
      <c r="F760" s="332">
        <v>7726</v>
      </c>
      <c r="G760" s="99"/>
      <c r="H760" s="122"/>
      <c r="I760" s="122"/>
      <c r="L760" s="122">
        <v>3476</v>
      </c>
      <c r="N760" s="196">
        <v>44986</v>
      </c>
      <c r="O760">
        <v>9521.309500000003</v>
      </c>
      <c r="P760">
        <v>8683.2764999999999</v>
      </c>
      <c r="Q760">
        <v>4181.1739659999994</v>
      </c>
      <c r="R760">
        <v>7718.137999999999</v>
      </c>
    </row>
    <row r="761" spans="1:18" x14ac:dyDescent="0.25">
      <c r="A761" t="str">
        <f>TEXT(Table1[[#This Row],[Date]],"YYYY"&amp;"- "&amp;"MM")</f>
        <v>2023- 01</v>
      </c>
      <c r="B761" s="348">
        <v>44938</v>
      </c>
      <c r="C761" s="312">
        <v>4811</v>
      </c>
      <c r="D761" s="312">
        <v>8102</v>
      </c>
      <c r="E761" s="312">
        <v>9917</v>
      </c>
      <c r="F761" s="332">
        <v>7652</v>
      </c>
      <c r="G761" s="99"/>
      <c r="H761" s="122"/>
      <c r="I761" s="122"/>
      <c r="L761" s="122">
        <v>3445</v>
      </c>
      <c r="N761" s="196">
        <v>44987</v>
      </c>
      <c r="O761">
        <v>10044.922799999998</v>
      </c>
      <c r="P761">
        <v>8445.3775000000005</v>
      </c>
      <c r="Q761">
        <v>3903.7934819999996</v>
      </c>
      <c r="R761">
        <v>7796.1529</v>
      </c>
    </row>
    <row r="762" spans="1:18" x14ac:dyDescent="0.25">
      <c r="A762" t="str">
        <f>TEXT(Table1[[#This Row],[Date]],"YYYY"&amp;"- "&amp;"MM")</f>
        <v>2023- 01</v>
      </c>
      <c r="B762" s="389">
        <v>44939</v>
      </c>
      <c r="C762" s="332">
        <v>4969</v>
      </c>
      <c r="D762" s="332">
        <v>8111</v>
      </c>
      <c r="E762" s="332">
        <v>10166</v>
      </c>
      <c r="F762" s="332">
        <v>7668</v>
      </c>
      <c r="G762" s="99"/>
      <c r="H762" s="486" t="s">
        <v>266</v>
      </c>
      <c r="I762" s="486"/>
      <c r="L762" s="122">
        <v>3581</v>
      </c>
      <c r="N762" s="196">
        <v>44988</v>
      </c>
      <c r="O762">
        <v>10119.466899999999</v>
      </c>
      <c r="P762">
        <v>8365.1205000000009</v>
      </c>
      <c r="Q762">
        <v>3938.1704818000003</v>
      </c>
      <c r="R762">
        <v>7807.3199999999988</v>
      </c>
    </row>
    <row r="763" spans="1:18" x14ac:dyDescent="0.25">
      <c r="A763" t="str">
        <f>TEXT(Table1[[#This Row],[Date]],"YYYY"&amp;"- "&amp;"MM")</f>
        <v>2023- 01</v>
      </c>
      <c r="B763" s="389">
        <v>44942</v>
      </c>
      <c r="C763" s="332">
        <v>5066</v>
      </c>
      <c r="D763" s="332">
        <v>7918</v>
      </c>
      <c r="E763" s="332">
        <v>10141</v>
      </c>
      <c r="F763" s="332">
        <v>7407</v>
      </c>
      <c r="G763" s="408"/>
      <c r="H763" s="486"/>
      <c r="I763" s="486"/>
      <c r="L763" s="122">
        <v>3707</v>
      </c>
      <c r="N763" s="196">
        <v>44992</v>
      </c>
      <c r="O763">
        <v>9965.4011000000028</v>
      </c>
      <c r="P763">
        <v>8403.7294999999995</v>
      </c>
      <c r="Q763">
        <v>4017.5844820000002</v>
      </c>
      <c r="R763">
        <v>7583.1818999999987</v>
      </c>
    </row>
    <row r="764" spans="1:18" x14ac:dyDescent="0.25">
      <c r="A764" t="str">
        <f>TEXT(Table1[[#This Row],[Date]],"YYYY"&amp;"- "&amp;"MM")</f>
        <v>2023- 01</v>
      </c>
      <c r="B764" s="389">
        <v>44943</v>
      </c>
      <c r="C764" s="332">
        <v>4903</v>
      </c>
      <c r="D764" s="332">
        <v>8053</v>
      </c>
      <c r="E764" s="332">
        <v>10175</v>
      </c>
      <c r="F764" s="332">
        <v>7446</v>
      </c>
      <c r="G764" s="408"/>
      <c r="H764" s="486"/>
      <c r="I764" s="486"/>
      <c r="L764" s="122">
        <v>3846</v>
      </c>
      <c r="N764" s="196">
        <v>44993</v>
      </c>
      <c r="O764">
        <v>10031.633399999999</v>
      </c>
      <c r="P764">
        <v>8533.4145000000008</v>
      </c>
      <c r="Q764">
        <v>4140.3689820000009</v>
      </c>
      <c r="R764">
        <v>7719.8359000000009</v>
      </c>
    </row>
    <row r="765" spans="1:18" x14ac:dyDescent="0.25">
      <c r="A765" t="str">
        <f>TEXT(Table1[[#This Row],[Date]],"YYYY"&amp;"- "&amp;"MM")</f>
        <v>2023- 01</v>
      </c>
      <c r="B765" s="389">
        <v>44944</v>
      </c>
      <c r="C765" s="332">
        <v>5022</v>
      </c>
      <c r="D765" s="332">
        <v>7842</v>
      </c>
      <c r="E765" s="332">
        <v>9857</v>
      </c>
      <c r="F765" s="332">
        <v>7429</v>
      </c>
      <c r="G765" s="408"/>
      <c r="H765" s="486"/>
      <c r="I765" s="486"/>
      <c r="L765" s="122">
        <v>3708</v>
      </c>
      <c r="N765" s="196">
        <v>44994</v>
      </c>
      <c r="O765">
        <v>10080.408999999996</v>
      </c>
      <c r="P765">
        <v>8573.8155000000006</v>
      </c>
      <c r="Q765">
        <v>4007.4996350000001</v>
      </c>
      <c r="R765">
        <v>7882.7160000000003</v>
      </c>
    </row>
    <row r="766" spans="1:18" x14ac:dyDescent="0.25">
      <c r="A766" t="str">
        <f>TEXT(Table1[[#This Row],[Date]],"YYYY"&amp;"- "&amp;"MM")</f>
        <v>2023- 01</v>
      </c>
      <c r="B766" s="389">
        <v>44945</v>
      </c>
      <c r="C766" s="332">
        <v>5070</v>
      </c>
      <c r="D766" s="332">
        <v>7655</v>
      </c>
      <c r="E766" s="332">
        <v>10161</v>
      </c>
      <c r="F766" s="332">
        <v>7466</v>
      </c>
      <c r="G766" s="408"/>
      <c r="H766" s="486"/>
      <c r="I766" s="486"/>
      <c r="L766" s="122">
        <v>3959</v>
      </c>
      <c r="N766" s="196">
        <v>44995</v>
      </c>
      <c r="O766">
        <v>10198.810000000003</v>
      </c>
      <c r="P766">
        <v>8472.5745000000006</v>
      </c>
      <c r="Q766">
        <v>4006.8656349999997</v>
      </c>
      <c r="R766">
        <v>8017.4409999999989</v>
      </c>
    </row>
    <row r="767" spans="1:18" x14ac:dyDescent="0.25">
      <c r="A767" t="str">
        <f>TEXT(Table1[[#This Row],[Date]],"YYYY"&amp;"- "&amp;"MM")</f>
        <v>2023- 01</v>
      </c>
      <c r="B767" s="389">
        <v>44946</v>
      </c>
      <c r="C767" s="332">
        <v>5301</v>
      </c>
      <c r="D767" s="332">
        <v>7638</v>
      </c>
      <c r="E767" s="332">
        <v>10387</v>
      </c>
      <c r="F767" s="332">
        <v>7465</v>
      </c>
      <c r="G767" s="408"/>
      <c r="H767" s="122"/>
      <c r="I767" s="122"/>
      <c r="L767" s="122">
        <v>3796</v>
      </c>
      <c r="N767" s="196">
        <v>44998</v>
      </c>
      <c r="O767">
        <v>9692.2633999999998</v>
      </c>
      <c r="P767">
        <v>7972.9889999999996</v>
      </c>
      <c r="Q767">
        <v>4089.5314850000009</v>
      </c>
      <c r="R767">
        <v>8050.9228999999996</v>
      </c>
    </row>
    <row r="768" spans="1:18" x14ac:dyDescent="0.25">
      <c r="A768" t="str">
        <f>TEXT(Table1[[#This Row],[Date]],"YYYY"&amp;"- "&amp;"MM")</f>
        <v>2023- 01</v>
      </c>
      <c r="B768" s="11">
        <v>44949</v>
      </c>
      <c r="C768" s="10">
        <v>5256.8794204000005</v>
      </c>
      <c r="D768" s="10">
        <v>7392.1948000000011</v>
      </c>
      <c r="E768" s="10">
        <v>9385.8566000000028</v>
      </c>
      <c r="F768" s="122">
        <v>7465.1120000000001</v>
      </c>
      <c r="G768" s="408"/>
      <c r="H768" s="122">
        <v>9513</v>
      </c>
      <c r="I768" s="122">
        <v>505</v>
      </c>
      <c r="L768" s="122">
        <v>3743.3238999999999</v>
      </c>
      <c r="N768" s="196">
        <v>44999</v>
      </c>
      <c r="O768">
        <v>9107.9066000000003</v>
      </c>
      <c r="P768">
        <v>8181.4089999999997</v>
      </c>
      <c r="Q768">
        <v>4099.9298849999996</v>
      </c>
      <c r="R768">
        <v>8149.6420000000007</v>
      </c>
    </row>
    <row r="769" spans="1:18" x14ac:dyDescent="0.25">
      <c r="A769" t="str">
        <f>TEXT(Table1[[#This Row],[Date]],"YYYY"&amp;"- "&amp;"MM")</f>
        <v>2023- 01</v>
      </c>
      <c r="B769" s="11">
        <v>44950</v>
      </c>
      <c r="C769" s="10">
        <v>5280.8305960999996</v>
      </c>
      <c r="D769" s="10">
        <v>7546.1088999999993</v>
      </c>
      <c r="E769" s="10">
        <v>9732.8757000000005</v>
      </c>
      <c r="F769" s="122">
        <v>7573.4340000000002</v>
      </c>
      <c r="G769" s="408"/>
      <c r="H769" s="122">
        <v>9494</v>
      </c>
      <c r="I769" s="122">
        <v>492</v>
      </c>
      <c r="L769" s="122">
        <v>3743</v>
      </c>
      <c r="N769" s="196">
        <v>45000</v>
      </c>
      <c r="O769">
        <v>9079.7736999999961</v>
      </c>
      <c r="P769">
        <v>8246.4279999999999</v>
      </c>
      <c r="Q769">
        <v>4220.4547476000007</v>
      </c>
      <c r="R769">
        <v>8216.3379999999997</v>
      </c>
    </row>
    <row r="770" spans="1:18" x14ac:dyDescent="0.25">
      <c r="A770" t="str">
        <f>TEXT(Table1[[#This Row],[Date]],"YYYY"&amp;"- "&amp;"MM")</f>
        <v>2023- 01</v>
      </c>
      <c r="B770" s="11">
        <v>44951</v>
      </c>
      <c r="C770" s="10">
        <v>5201.7446185000008</v>
      </c>
      <c r="D770" s="10">
        <v>7545.8979000000008</v>
      </c>
      <c r="E770" s="10">
        <v>9641.5955999999987</v>
      </c>
      <c r="F770" s="122">
        <v>7685.973</v>
      </c>
      <c r="G770" s="408"/>
      <c r="H770" s="122">
        <v>9639</v>
      </c>
      <c r="I770" s="122">
        <v>478</v>
      </c>
      <c r="L770" s="122">
        <v>3859.1489000000001</v>
      </c>
      <c r="N770" s="196">
        <v>45001</v>
      </c>
      <c r="O770">
        <v>8838.1919999999991</v>
      </c>
      <c r="P770">
        <v>8013.4879999999994</v>
      </c>
      <c r="Q770">
        <v>4019.0063139999997</v>
      </c>
      <c r="R770">
        <v>8283.1660000000011</v>
      </c>
    </row>
    <row r="771" spans="1:18" x14ac:dyDescent="0.25">
      <c r="A771" t="str">
        <f>TEXT(Table1[[#This Row],[Date]],"YYYY"&amp;"- "&amp;"MM")</f>
        <v>2023- 01</v>
      </c>
      <c r="B771" s="11">
        <v>44952</v>
      </c>
      <c r="C771" s="122">
        <v>5327.4541551999991</v>
      </c>
      <c r="D771" s="122">
        <v>7674.9698000000026</v>
      </c>
      <c r="E771" s="122">
        <v>9524.6154000000024</v>
      </c>
      <c r="F771" s="122">
        <v>7757.2659999999996</v>
      </c>
      <c r="G771" s="408"/>
      <c r="H771">
        <v>9720</v>
      </c>
      <c r="I771">
        <v>396</v>
      </c>
      <c r="L771" s="122">
        <v>3848</v>
      </c>
      <c r="N771" s="196">
        <v>45002</v>
      </c>
      <c r="O771">
        <v>8804.3613999999998</v>
      </c>
      <c r="P771">
        <v>8014.41</v>
      </c>
      <c r="Q771">
        <v>3987.1319210000006</v>
      </c>
      <c r="R771">
        <v>8173.098</v>
      </c>
    </row>
    <row r="772" spans="1:18" x14ac:dyDescent="0.25">
      <c r="A772" t="str">
        <f>TEXT(Table1[[#This Row],[Date]],"YYYY"&amp;"- "&amp;"MM")</f>
        <v>2023- 01</v>
      </c>
      <c r="B772" s="11">
        <v>44953</v>
      </c>
      <c r="C772" s="10">
        <v>5449.8080652999997</v>
      </c>
      <c r="D772" s="122">
        <v>7605.0029000000013</v>
      </c>
      <c r="E772" s="122">
        <v>9759.1138999999985</v>
      </c>
      <c r="F772" s="122">
        <v>7718.6049999999996</v>
      </c>
      <c r="G772" s="408"/>
      <c r="H772" s="122">
        <v>9584</v>
      </c>
      <c r="I772" s="122">
        <v>413</v>
      </c>
      <c r="L772" s="122">
        <v>3737</v>
      </c>
      <c r="N772" s="196">
        <v>45005</v>
      </c>
      <c r="O772">
        <v>8163.4295999999977</v>
      </c>
      <c r="P772">
        <v>8099.2829999999994</v>
      </c>
      <c r="Q772">
        <v>3975.8807443000005</v>
      </c>
      <c r="R772">
        <v>7888.1849000000002</v>
      </c>
    </row>
    <row r="773" spans="1:18" x14ac:dyDescent="0.25">
      <c r="A773" t="str">
        <f>TEXT(Table1[[#This Row],[Date]],"YYYY"&amp;"- "&amp;"MM")</f>
        <v>2023- 01</v>
      </c>
      <c r="B773" s="11">
        <v>44956</v>
      </c>
      <c r="C773" s="10">
        <v>5333.2075985999982</v>
      </c>
      <c r="D773" s="122">
        <v>7476.8239000000003</v>
      </c>
      <c r="E773" s="122">
        <v>9284.0187000000005</v>
      </c>
      <c r="F773">
        <v>7657</v>
      </c>
      <c r="G773" s="408"/>
      <c r="H773" s="122">
        <v>9578</v>
      </c>
      <c r="I773" s="122">
        <v>593</v>
      </c>
      <c r="L773" s="122">
        <v>3481</v>
      </c>
      <c r="N773" s="196">
        <v>45006</v>
      </c>
      <c r="O773">
        <v>8140.7380000000003</v>
      </c>
      <c r="P773">
        <v>8275.73</v>
      </c>
      <c r="Q773">
        <v>4020.6706881999999</v>
      </c>
      <c r="R773">
        <v>7956.2650000000012</v>
      </c>
    </row>
    <row r="774" spans="1:18" x14ac:dyDescent="0.25">
      <c r="A774" t="str">
        <f>TEXT(Table1[[#This Row],[Date]],"YYYY"&amp;"- "&amp;"MM")</f>
        <v>2023- 01</v>
      </c>
      <c r="B774" s="11">
        <v>44957</v>
      </c>
      <c r="C774" s="10">
        <v>5466.7061229999999</v>
      </c>
      <c r="D774" s="10">
        <v>7638.4749999999985</v>
      </c>
      <c r="E774" s="10">
        <v>9193.4285999999975</v>
      </c>
      <c r="F774" s="122">
        <v>7771.0820000000003</v>
      </c>
      <c r="G774" s="408"/>
      <c r="H774" s="122">
        <v>9759</v>
      </c>
      <c r="I774" s="122">
        <v>614</v>
      </c>
      <c r="L774">
        <v>3493.2950000000001</v>
      </c>
      <c r="N774" s="196">
        <v>45007</v>
      </c>
      <c r="O774">
        <v>8005.0807000000004</v>
      </c>
      <c r="P774">
        <v>8350.4279999999999</v>
      </c>
      <c r="Q774">
        <v>4158.7615381999994</v>
      </c>
      <c r="R774">
        <v>8115.9380000000019</v>
      </c>
    </row>
    <row r="775" spans="1:18" x14ac:dyDescent="0.25">
      <c r="A775" t="str">
        <f>TEXT(Table1[[#This Row],[Date]],"YYYY"&amp;"- "&amp;"MM")</f>
        <v>2023- 02</v>
      </c>
      <c r="B775" s="11">
        <v>44958</v>
      </c>
      <c r="C775" s="10">
        <v>5308.6689111999995</v>
      </c>
      <c r="D775" s="10">
        <v>7645.3568999999989</v>
      </c>
      <c r="E775" s="10">
        <v>9357.8394999999982</v>
      </c>
      <c r="F775" s="122">
        <v>7837.3469999999998</v>
      </c>
      <c r="G775" s="408"/>
      <c r="H775" s="122">
        <v>9856</v>
      </c>
      <c r="I775" s="122">
        <v>877</v>
      </c>
      <c r="L775" s="122">
        <v>3796</v>
      </c>
      <c r="N775" s="196">
        <v>45008</v>
      </c>
      <c r="O775">
        <v>8147.2260000000006</v>
      </c>
      <c r="P775">
        <v>8240.83</v>
      </c>
      <c r="Q775">
        <v>3987.3721284000017</v>
      </c>
      <c r="R775">
        <v>8167.232</v>
      </c>
    </row>
    <row r="776" spans="1:18" x14ac:dyDescent="0.25">
      <c r="A776" t="str">
        <f>TEXT(Table1[[#This Row],[Date]],"YYYY"&amp;"- "&amp;"MM")</f>
        <v>2023- 02</v>
      </c>
      <c r="B776" s="11">
        <v>44959</v>
      </c>
      <c r="C776" s="10">
        <v>4966.5306230000006</v>
      </c>
      <c r="D776" s="10">
        <v>7711.9098999999987</v>
      </c>
      <c r="E776" s="10">
        <v>9429.3827999999994</v>
      </c>
      <c r="F776">
        <v>7885.9949999999999</v>
      </c>
      <c r="G776" s="408"/>
      <c r="H776" s="122">
        <v>10052</v>
      </c>
      <c r="I776" s="122">
        <v>931</v>
      </c>
      <c r="L776" s="122">
        <v>3873</v>
      </c>
      <c r="N776" s="196">
        <v>45009</v>
      </c>
      <c r="O776">
        <v>8401.9766999999974</v>
      </c>
      <c r="P776">
        <v>8144.52</v>
      </c>
      <c r="Q776">
        <v>3958.4622493999996</v>
      </c>
      <c r="R776">
        <v>8226.2209999999995</v>
      </c>
    </row>
    <row r="777" spans="1:18" x14ac:dyDescent="0.25">
      <c r="A777" t="str">
        <f>TEXT(Table1[[#This Row],[Date]],"YYYY"&amp;"- "&amp;"MM")</f>
        <v>2023- 02</v>
      </c>
      <c r="B777" s="11">
        <v>44960</v>
      </c>
      <c r="C777" s="10">
        <v>5155.1202229999999</v>
      </c>
      <c r="D777" s="10">
        <v>7793.9929000000011</v>
      </c>
      <c r="E777" s="7">
        <v>9404.0398999999998</v>
      </c>
      <c r="F777">
        <v>7978.6559999999999</v>
      </c>
      <c r="G777" s="408"/>
      <c r="H777" s="122">
        <v>9815</v>
      </c>
      <c r="I777" s="122">
        <v>898</v>
      </c>
      <c r="L777" s="122">
        <v>3907</v>
      </c>
      <c r="N777" s="196">
        <v>45012</v>
      </c>
      <c r="O777">
        <v>8209.2708999999995</v>
      </c>
      <c r="P777">
        <v>7708.0379999999996</v>
      </c>
      <c r="Q777">
        <v>4062.9174360000006</v>
      </c>
      <c r="R777">
        <v>7994.1130000000003</v>
      </c>
    </row>
    <row r="778" spans="1:18" x14ac:dyDescent="0.25">
      <c r="A778" t="str">
        <f>TEXT(Table1[[#This Row],[Date]],"YYYY"&amp;"- "&amp;"MM")</f>
        <v>2023- 02</v>
      </c>
      <c r="B778" s="11">
        <v>44963</v>
      </c>
      <c r="C778" s="10">
        <v>4822.1186669999988</v>
      </c>
      <c r="D778" s="10">
        <v>7708.0339000000004</v>
      </c>
      <c r="E778" s="7">
        <v>9272.0577000000012</v>
      </c>
      <c r="F778">
        <v>8090.6750000000002</v>
      </c>
      <c r="G778" s="408"/>
      <c r="H778" s="122">
        <v>10040</v>
      </c>
      <c r="I778" s="122">
        <v>891</v>
      </c>
      <c r="L778">
        <v>3804.1698999999999</v>
      </c>
      <c r="N778" s="196">
        <v>45013</v>
      </c>
      <c r="O778">
        <v>8394.0383000000002</v>
      </c>
      <c r="P778">
        <v>7884.7089999999998</v>
      </c>
      <c r="Q778">
        <v>4074.0306492999998</v>
      </c>
      <c r="R778">
        <v>8152.79</v>
      </c>
    </row>
    <row r="779" spans="1:18" x14ac:dyDescent="0.25">
      <c r="A779" t="str">
        <f>TEXT(Table1[[#This Row],[Date]],"YYYY"&amp;"- "&amp;"MM")</f>
        <v>2023- 02</v>
      </c>
      <c r="B779" s="11">
        <v>44964</v>
      </c>
      <c r="C779" s="10">
        <v>4762.5360169999985</v>
      </c>
      <c r="D779" s="10">
        <v>7716.3130000000001</v>
      </c>
      <c r="E779" s="7">
        <v>9277.6173000000017</v>
      </c>
      <c r="F779">
        <v>8272.4279999999999</v>
      </c>
      <c r="G779" s="408"/>
      <c r="H779" s="122">
        <v>10163</v>
      </c>
      <c r="I779" s="122">
        <v>891</v>
      </c>
      <c r="L779">
        <v>4092.7129</v>
      </c>
      <c r="N779" s="196">
        <v>45014</v>
      </c>
      <c r="O779">
        <v>8292.9871999999996</v>
      </c>
      <c r="P779">
        <v>7987.4650000000001</v>
      </c>
      <c r="Q779">
        <v>4107.382171000002</v>
      </c>
      <c r="R779">
        <v>8091.3782000000001</v>
      </c>
    </row>
    <row r="780" spans="1:18" x14ac:dyDescent="0.25">
      <c r="A780" t="str">
        <f>TEXT(Table1[[#This Row],[Date]],"YYYY"&amp;"- "&amp;"MM")</f>
        <v>2023- 02</v>
      </c>
      <c r="B780" s="11">
        <v>44965</v>
      </c>
      <c r="C780" s="10">
        <v>4828.640786599999</v>
      </c>
      <c r="D780" s="10">
        <v>7872.74</v>
      </c>
      <c r="E780" s="7">
        <v>9531.9174999999977</v>
      </c>
      <c r="F780">
        <v>8365.2440000000006</v>
      </c>
      <c r="G780" s="408"/>
      <c r="H780" s="122">
        <v>9928</v>
      </c>
      <c r="I780" s="122">
        <v>891</v>
      </c>
      <c r="L780">
        <v>3946.4429</v>
      </c>
      <c r="N780" s="196">
        <v>45015</v>
      </c>
      <c r="O780">
        <v>8353.6795000000002</v>
      </c>
      <c r="P780">
        <v>7893.3639999999996</v>
      </c>
      <c r="Q780">
        <v>4093.3575410000017</v>
      </c>
      <c r="R780">
        <v>8066.8142000000007</v>
      </c>
    </row>
    <row r="781" spans="1:18" x14ac:dyDescent="0.25">
      <c r="A781" t="str">
        <f>TEXT(Table1[[#This Row],[Date]],"YYYY"&amp;"- "&amp;"MM")</f>
        <v>2023- 02</v>
      </c>
      <c r="B781" s="11">
        <v>44966</v>
      </c>
      <c r="C781" s="10">
        <v>4723.9265720000003</v>
      </c>
      <c r="D781" s="10">
        <v>7981.5729999999967</v>
      </c>
      <c r="E781" s="7">
        <v>9735.5318000000007</v>
      </c>
      <c r="F781">
        <v>8209.4660000000003</v>
      </c>
      <c r="G781" s="408"/>
      <c r="H781" s="122">
        <v>9944</v>
      </c>
      <c r="I781" s="122">
        <v>816</v>
      </c>
      <c r="L781">
        <v>4093</v>
      </c>
      <c r="N781" s="196">
        <v>45016</v>
      </c>
      <c r="O781">
        <v>8500.8803000000007</v>
      </c>
      <c r="P781">
        <v>7757.3649999999998</v>
      </c>
      <c r="Q781">
        <v>4172.5855410000013</v>
      </c>
      <c r="R781">
        <v>7919.3842000000022</v>
      </c>
    </row>
    <row r="782" spans="1:18" x14ac:dyDescent="0.25">
      <c r="A782" t="str">
        <f>TEXT(Table1[[#This Row],[Date]],"YYYY"&amp;"- "&amp;"MM")</f>
        <v>2023- 02</v>
      </c>
      <c r="B782" s="11">
        <v>44967</v>
      </c>
      <c r="C782" s="10">
        <v>4581.0796469999987</v>
      </c>
      <c r="D782" s="10">
        <v>7879.0160000000005</v>
      </c>
      <c r="E782" s="7">
        <v>9867.3722000000016</v>
      </c>
      <c r="F782">
        <v>8172.2779999999993</v>
      </c>
      <c r="G782" s="408"/>
      <c r="H782" s="122">
        <v>9937</v>
      </c>
      <c r="I782" s="122">
        <v>736</v>
      </c>
      <c r="L782">
        <v>3851.1869999999999</v>
      </c>
      <c r="N782" s="196">
        <v>45019</v>
      </c>
      <c r="O782">
        <v>8353.883600000001</v>
      </c>
      <c r="P782">
        <v>7837.9870000000001</v>
      </c>
      <c r="Q782">
        <v>4002.2956410000006</v>
      </c>
      <c r="R782">
        <v>7706.6512000000002</v>
      </c>
    </row>
    <row r="783" spans="1:18" x14ac:dyDescent="0.25">
      <c r="A783" t="str">
        <f>TEXT(Table1[[#This Row],[Date]],"YYYY"&amp;"- "&amp;"MM")</f>
        <v>2023- 02</v>
      </c>
      <c r="B783" s="11">
        <v>44970</v>
      </c>
      <c r="C783" s="10">
        <v>4173.080481</v>
      </c>
      <c r="D783" s="10">
        <v>7483.6110000000008</v>
      </c>
      <c r="E783" s="7">
        <v>9509.7607000000025</v>
      </c>
      <c r="F783">
        <v>8157.8919999999989</v>
      </c>
      <c r="G783" s="408"/>
      <c r="H783" s="122">
        <v>9945</v>
      </c>
      <c r="I783" s="122">
        <v>765</v>
      </c>
      <c r="L783">
        <v>3670</v>
      </c>
      <c r="N783" s="196">
        <v>45020</v>
      </c>
      <c r="O783">
        <v>8353.883600000001</v>
      </c>
      <c r="P783">
        <v>7837.9870000000001</v>
      </c>
      <c r="Q783">
        <v>4002.2956410000006</v>
      </c>
      <c r="R783">
        <v>7706.6512000000002</v>
      </c>
    </row>
    <row r="784" spans="1:18" x14ac:dyDescent="0.25">
      <c r="A784" t="str">
        <f>TEXT(Table1[[#This Row],[Date]],"YYYY"&amp;"- "&amp;"MM")</f>
        <v>2023- 02</v>
      </c>
      <c r="B784" s="11">
        <v>44971</v>
      </c>
      <c r="C784" s="10">
        <v>4238.9759080000003</v>
      </c>
      <c r="D784" s="10">
        <v>7467.2239999999993</v>
      </c>
      <c r="E784" s="7">
        <v>9604.0259000000005</v>
      </c>
      <c r="F784">
        <v>8244.6970000000001</v>
      </c>
      <c r="G784" s="408"/>
      <c r="H784" s="122">
        <v>9751</v>
      </c>
      <c r="I784" s="122">
        <v>950</v>
      </c>
      <c r="L784">
        <v>3775.3769000000002</v>
      </c>
      <c r="N784" s="196">
        <v>45022</v>
      </c>
      <c r="O784">
        <v>8869.9628000000048</v>
      </c>
      <c r="P784">
        <v>7773.2009999999991</v>
      </c>
      <c r="Q784">
        <v>4042.6023468000008</v>
      </c>
      <c r="R784">
        <v>7633.2860999999984</v>
      </c>
    </row>
    <row r="785" spans="1:18" x14ac:dyDescent="0.25">
      <c r="A785" t="str">
        <f>TEXT(Table1[[#This Row],[Date]],"YYYY"&amp;"- "&amp;"MM")</f>
        <v>2023- 02</v>
      </c>
      <c r="B785" s="11">
        <v>44972</v>
      </c>
      <c r="C785" s="10">
        <v>4355.0633542999994</v>
      </c>
      <c r="D785" s="10">
        <v>7442.2339999999995</v>
      </c>
      <c r="E785" s="7">
        <v>9651.2631000000001</v>
      </c>
      <c r="F785">
        <v>8225.5169999999998</v>
      </c>
      <c r="G785" s="408"/>
      <c r="H785" s="122">
        <v>9806</v>
      </c>
      <c r="I785" s="122">
        <v>881</v>
      </c>
      <c r="L785">
        <v>3866.7078999999999</v>
      </c>
      <c r="N785" s="196">
        <v>45023</v>
      </c>
      <c r="O785">
        <v>9003.1434999999965</v>
      </c>
      <c r="P785">
        <v>7800.8119999999999</v>
      </c>
      <c r="Q785">
        <v>4110.7233513000001</v>
      </c>
      <c r="R785">
        <v>7901.4241999999995</v>
      </c>
    </row>
    <row r="786" spans="1:18" x14ac:dyDescent="0.25">
      <c r="A786" t="str">
        <f>TEXT(Table1[[#This Row],[Date]],"YYYY"&amp;"- "&amp;"MM")</f>
        <v>2023- 02</v>
      </c>
      <c r="B786" s="11">
        <v>44973</v>
      </c>
      <c r="C786" s="10">
        <v>4203.6958485999994</v>
      </c>
      <c r="D786" s="10">
        <v>7349.1009999999987</v>
      </c>
      <c r="E786" s="7">
        <v>9515.9134999999987</v>
      </c>
      <c r="F786">
        <v>8093.3129999999992</v>
      </c>
      <c r="G786" s="408"/>
      <c r="H786" s="122">
        <v>9670</v>
      </c>
      <c r="I786" s="122">
        <v>881</v>
      </c>
      <c r="L786">
        <v>3819.6169</v>
      </c>
      <c r="N786" s="196">
        <v>45026</v>
      </c>
      <c r="O786">
        <v>8584.2172999999984</v>
      </c>
      <c r="P786">
        <v>7569.75</v>
      </c>
      <c r="Q786">
        <v>4187.5847513000017</v>
      </c>
      <c r="R786">
        <v>7792.0181999999986</v>
      </c>
    </row>
    <row r="787" spans="1:18" x14ac:dyDescent="0.25">
      <c r="A787" t="str">
        <f>TEXT(Table1[[#This Row],[Date]],"YYYY"&amp;"- "&amp;"MM")</f>
        <v>2023- 02</v>
      </c>
      <c r="B787" s="11">
        <v>44974</v>
      </c>
      <c r="C787" s="10">
        <v>4231.8853079999999</v>
      </c>
      <c r="D787" s="10">
        <v>7438.690999999998</v>
      </c>
      <c r="E787" s="7">
        <v>9604.6658999999981</v>
      </c>
      <c r="F787">
        <v>8088.168999999999</v>
      </c>
      <c r="G787" s="408"/>
      <c r="H787" s="122">
        <v>9667</v>
      </c>
      <c r="I787" s="122">
        <v>882</v>
      </c>
      <c r="L787">
        <v>3676.5189999999998</v>
      </c>
      <c r="N787" s="196">
        <v>45033</v>
      </c>
      <c r="O787">
        <v>9298.1760999999988</v>
      </c>
      <c r="P787">
        <v>7815.351999999999</v>
      </c>
      <c r="Q787">
        <v>4205.9700512999989</v>
      </c>
      <c r="R787">
        <v>7753.9221999999991</v>
      </c>
    </row>
    <row r="788" spans="1:18" x14ac:dyDescent="0.25">
      <c r="A788" t="str">
        <f>TEXT(Table1[[#This Row],[Date]],"YYYY"&amp;"- "&amp;"MM")</f>
        <v>2023- 02</v>
      </c>
      <c r="B788" s="11">
        <v>44977</v>
      </c>
      <c r="C788" s="10">
        <v>4126.6613084000001</v>
      </c>
      <c r="D788" s="10">
        <v>7398.5009</v>
      </c>
      <c r="E788" s="7">
        <v>9577.6799000000028</v>
      </c>
      <c r="F788">
        <v>8192.1275000000005</v>
      </c>
      <c r="G788" s="408"/>
      <c r="H788" s="122">
        <v>9642</v>
      </c>
      <c r="I788" s="122">
        <v>793</v>
      </c>
      <c r="L788">
        <v>3478.8270000000002</v>
      </c>
      <c r="N788" s="196">
        <v>45034</v>
      </c>
      <c r="O788">
        <v>9301.7802000000011</v>
      </c>
      <c r="P788">
        <v>7924.128999999999</v>
      </c>
      <c r="Q788">
        <v>4126.9134513000008</v>
      </c>
      <c r="R788">
        <v>7760.3340999999991</v>
      </c>
    </row>
    <row r="789" spans="1:18" x14ac:dyDescent="0.25">
      <c r="A789" t="str">
        <f>TEXT(Table1[[#This Row],[Date]],"YYYY"&amp;"- "&amp;"MM")</f>
        <v>2023- 02</v>
      </c>
      <c r="B789" s="11">
        <v>44978</v>
      </c>
      <c r="C789" s="10">
        <v>4112.1971629999998</v>
      </c>
      <c r="D789" s="10">
        <v>7479.4568999999992</v>
      </c>
      <c r="E789" s="7">
        <v>9709.6698000000033</v>
      </c>
      <c r="F789">
        <v>8398.5215000000007</v>
      </c>
      <c r="G789" s="408"/>
      <c r="H789" s="122">
        <v>9410</v>
      </c>
      <c r="I789" s="122">
        <v>800</v>
      </c>
      <c r="L789">
        <v>3561.1298999999999</v>
      </c>
      <c r="N789" s="196">
        <v>45035</v>
      </c>
      <c r="O789">
        <v>9433.7200999999986</v>
      </c>
      <c r="P789">
        <v>7897.3259999999991</v>
      </c>
      <c r="Q789">
        <v>4161.4706377000011</v>
      </c>
      <c r="R789">
        <v>7565.6200999999992</v>
      </c>
    </row>
    <row r="790" spans="1:18" x14ac:dyDescent="0.25">
      <c r="A790" t="str">
        <f>TEXT(Table1[[#This Row],[Date]],"YYYY"&amp;"- "&amp;"MM")</f>
        <v>2023- 02</v>
      </c>
      <c r="B790" s="11">
        <v>44979</v>
      </c>
      <c r="C790" s="10">
        <v>4321.2955867999999</v>
      </c>
      <c r="D790" s="10">
        <v>7452.0968000000003</v>
      </c>
      <c r="E790" s="7">
        <v>9837.8232000000025</v>
      </c>
      <c r="F790">
        <v>8485.0295000000006</v>
      </c>
      <c r="G790" s="408"/>
      <c r="H790" s="122">
        <v>9025</v>
      </c>
      <c r="I790" s="122">
        <v>734</v>
      </c>
      <c r="L790">
        <v>3652.0889000000002</v>
      </c>
      <c r="N790" s="196">
        <v>45036</v>
      </c>
      <c r="O790">
        <v>9721.9777999999988</v>
      </c>
      <c r="P790">
        <v>7617.3429999999989</v>
      </c>
      <c r="Q790">
        <v>3984.0050302000004</v>
      </c>
      <c r="R790">
        <v>7446.3931000000002</v>
      </c>
    </row>
    <row r="791" spans="1:18" x14ac:dyDescent="0.25">
      <c r="A791" t="str">
        <f>TEXT(Table1[[#This Row],[Date]],"YYYY"&amp;"- "&amp;"MM")</f>
        <v>2023- 02</v>
      </c>
      <c r="B791" s="11">
        <v>44980</v>
      </c>
      <c r="C791" s="10">
        <v>4093.0649214999989</v>
      </c>
      <c r="D791" s="10">
        <v>7452.0968000000003</v>
      </c>
      <c r="E791" s="7">
        <v>9737.8243000000002</v>
      </c>
      <c r="F791">
        <v>8496.9495000000006</v>
      </c>
      <c r="G791" s="408"/>
      <c r="H791" s="122">
        <v>9006</v>
      </c>
      <c r="I791" s="122">
        <v>636</v>
      </c>
      <c r="L791">
        <v>3911.1660000000002</v>
      </c>
      <c r="N791" s="196">
        <v>45037</v>
      </c>
      <c r="O791">
        <v>9986.1178</v>
      </c>
      <c r="P791">
        <v>7562.7889999999989</v>
      </c>
      <c r="Q791">
        <v>4133.7889562</v>
      </c>
      <c r="R791">
        <v>7463.5690999999988</v>
      </c>
    </row>
    <row r="792" spans="1:18" x14ac:dyDescent="0.25">
      <c r="A792" t="str">
        <f>TEXT(Table1[[#This Row],[Date]],"YYYY"&amp;"- "&amp;"MM")</f>
        <v>2023- 02</v>
      </c>
      <c r="B792" s="11">
        <v>44981</v>
      </c>
      <c r="C792" s="10">
        <v>4089.4628528999997</v>
      </c>
      <c r="D792" s="10">
        <v>7637.4959999999983</v>
      </c>
      <c r="E792" s="7">
        <v>9769.0147000000015</v>
      </c>
      <c r="F792">
        <v>8428.6574999999993</v>
      </c>
      <c r="G792" s="408"/>
      <c r="H792" s="122">
        <v>8943</v>
      </c>
      <c r="I792" s="122">
        <v>618</v>
      </c>
      <c r="L792">
        <v>3969.471</v>
      </c>
      <c r="N792" s="196">
        <v>45040</v>
      </c>
      <c r="O792">
        <v>10097.686400000001</v>
      </c>
      <c r="P792">
        <v>7484.3279999999995</v>
      </c>
      <c r="Q792">
        <v>3923.1901405000003</v>
      </c>
      <c r="R792">
        <v>7126.588999999999</v>
      </c>
    </row>
    <row r="793" spans="1:18" x14ac:dyDescent="0.25">
      <c r="A793" t="str">
        <f>TEXT(Table1[[#This Row],[Date]],"YYYY"&amp;"- "&amp;"MM")</f>
        <v>2023- 02</v>
      </c>
      <c r="B793" s="11">
        <v>44984</v>
      </c>
      <c r="C793" s="10">
        <v>3933.9993596000004</v>
      </c>
      <c r="D793" s="10">
        <v>7613.4320000000007</v>
      </c>
      <c r="E793" s="7">
        <v>9224.2665000000015</v>
      </c>
      <c r="F793">
        <v>8365.3935000000001</v>
      </c>
      <c r="G793" s="408"/>
      <c r="H793" s="122">
        <v>8733</v>
      </c>
      <c r="I793" s="122">
        <v>479</v>
      </c>
      <c r="L793">
        <v>3371.4969999999998</v>
      </c>
      <c r="N793" s="196">
        <v>45041</v>
      </c>
      <c r="O793">
        <v>10198.591499999997</v>
      </c>
      <c r="P793">
        <v>7543.8119999999999</v>
      </c>
      <c r="Q793">
        <v>3935.6921136000005</v>
      </c>
      <c r="R793">
        <v>7134.4689000000008</v>
      </c>
    </row>
    <row r="794" spans="1:18" x14ac:dyDescent="0.25">
      <c r="A794" t="str">
        <f>TEXT(Table1[[#This Row],[Date]],"YYYY"&amp;"- "&amp;"MM")</f>
        <v>2023- 02</v>
      </c>
      <c r="B794" s="11">
        <v>44985</v>
      </c>
      <c r="C794" s="10">
        <v>3951.727766</v>
      </c>
      <c r="D794" s="10">
        <v>7676.4140000000007</v>
      </c>
      <c r="E794" s="7">
        <v>9293.7114000000001</v>
      </c>
      <c r="F794">
        <v>8531.2194999999992</v>
      </c>
      <c r="G794" s="408"/>
      <c r="H794" s="122">
        <v>8607</v>
      </c>
      <c r="I794" s="122">
        <v>422</v>
      </c>
      <c r="L794">
        <v>3483.375</v>
      </c>
      <c r="N794" s="196">
        <v>45042</v>
      </c>
      <c r="O794">
        <v>10198.591499999997</v>
      </c>
      <c r="P794">
        <v>7543.8119999999999</v>
      </c>
      <c r="Q794">
        <v>3935.6921136000005</v>
      </c>
      <c r="R794">
        <v>7134.4689000000008</v>
      </c>
    </row>
    <row r="795" spans="1:18" x14ac:dyDescent="0.25">
      <c r="A795" t="str">
        <f>TEXT(Table1[[#This Row],[Date]],"YYYY"&amp;"- "&amp;"MM")</f>
        <v>2023- 03</v>
      </c>
      <c r="B795" s="11">
        <v>44986</v>
      </c>
      <c r="C795" s="10">
        <v>4181.1739659999994</v>
      </c>
      <c r="D795" s="10">
        <v>7718.137999999999</v>
      </c>
      <c r="E795" s="7">
        <v>9521.309500000003</v>
      </c>
      <c r="F795">
        <v>8683.2764999999999</v>
      </c>
      <c r="G795" s="408"/>
      <c r="H795" s="122">
        <v>8607</v>
      </c>
      <c r="I795" s="122">
        <v>422</v>
      </c>
      <c r="L795">
        <v>3388.866</v>
      </c>
      <c r="N795" s="196">
        <v>45043</v>
      </c>
      <c r="O795">
        <v>9923.7808999999979</v>
      </c>
      <c r="P795">
        <v>7408.4105</v>
      </c>
      <c r="Q795">
        <v>3795.5908441000006</v>
      </c>
      <c r="R795">
        <v>7020.6519000000008</v>
      </c>
    </row>
    <row r="796" spans="1:18" x14ac:dyDescent="0.25">
      <c r="A796" t="str">
        <f>TEXT(Table1[[#This Row],[Date]],"YYYY"&amp;"- "&amp;"MM")</f>
        <v>2023- 03</v>
      </c>
      <c r="B796" s="11">
        <v>44987</v>
      </c>
      <c r="C796" s="10">
        <v>3903.7934819999996</v>
      </c>
      <c r="D796" s="10">
        <v>7796.1529</v>
      </c>
      <c r="E796" s="7">
        <v>10044.922799999998</v>
      </c>
      <c r="F796">
        <v>8445.3775000000005</v>
      </c>
      <c r="G796" s="408"/>
      <c r="H796" s="122">
        <v>9074</v>
      </c>
      <c r="I796" s="122">
        <v>290</v>
      </c>
      <c r="L796">
        <v>3279.73</v>
      </c>
      <c r="N796" s="196">
        <v>45044</v>
      </c>
      <c r="O796">
        <v>9831.5429000000004</v>
      </c>
      <c r="P796">
        <v>7407.1124999999993</v>
      </c>
      <c r="Q796">
        <v>3794.1599591000008</v>
      </c>
      <c r="R796">
        <v>6864.8429000000006</v>
      </c>
    </row>
    <row r="797" spans="1:18" x14ac:dyDescent="0.25">
      <c r="A797" t="str">
        <f>TEXT(Table1[[#This Row],[Date]],"YYYY"&amp;"- "&amp;"MM")</f>
        <v>2023- 03</v>
      </c>
      <c r="B797" s="11">
        <v>44988</v>
      </c>
      <c r="C797" s="10">
        <v>3938.1704818000003</v>
      </c>
      <c r="D797" s="10">
        <v>7807.3199999999988</v>
      </c>
      <c r="E797" s="7">
        <v>10119.466899999999</v>
      </c>
      <c r="F797">
        <v>8365.1205000000009</v>
      </c>
      <c r="G797" s="408"/>
      <c r="H797" s="122">
        <v>9021</v>
      </c>
      <c r="I797" s="122">
        <v>327</v>
      </c>
      <c r="L797">
        <v>3215.848</v>
      </c>
      <c r="N797" s="196">
        <v>45048</v>
      </c>
      <c r="O797">
        <v>9359.0434999999998</v>
      </c>
      <c r="P797">
        <v>7311.628999999999</v>
      </c>
      <c r="Q797">
        <v>3865.5011449999993</v>
      </c>
      <c r="R797">
        <v>6533.7609000000002</v>
      </c>
    </row>
    <row r="798" spans="1:18" x14ac:dyDescent="0.25">
      <c r="A798" t="str">
        <f>TEXT(Table1[[#This Row],[Date]],"YYYY"&amp;"- "&amp;"MM")</f>
        <v>2023- 03</v>
      </c>
      <c r="B798" s="11">
        <v>44992</v>
      </c>
      <c r="C798" s="10">
        <v>4017.5844820000002</v>
      </c>
      <c r="D798" s="10">
        <v>7583.1818999999987</v>
      </c>
      <c r="E798" s="7">
        <v>9965.4011000000028</v>
      </c>
      <c r="F798">
        <v>8403.7294999999995</v>
      </c>
      <c r="G798" s="408"/>
      <c r="H798" s="122">
        <v>9193</v>
      </c>
      <c r="I798" s="122">
        <v>355</v>
      </c>
      <c r="L798">
        <v>3140.9810000000002</v>
      </c>
      <c r="N798" s="196">
        <v>45049</v>
      </c>
      <c r="O798">
        <v>9367.124600000001</v>
      </c>
      <c r="P798">
        <v>7518.6509999999998</v>
      </c>
      <c r="Q798">
        <v>3959.0688449999998</v>
      </c>
      <c r="R798">
        <v>6366.2148999999999</v>
      </c>
    </row>
    <row r="799" spans="1:18" x14ac:dyDescent="0.25">
      <c r="A799" t="str">
        <f>TEXT(Table1[[#This Row],[Date]],"YYYY"&amp;"- "&amp;"MM")</f>
        <v>2023- 03</v>
      </c>
      <c r="B799" s="11">
        <v>44993</v>
      </c>
      <c r="C799" s="10">
        <v>4140.3689820000009</v>
      </c>
      <c r="D799" s="10">
        <v>7719.8359000000009</v>
      </c>
      <c r="E799" s="7">
        <v>10031.633399999999</v>
      </c>
      <c r="F799">
        <v>8533.4145000000008</v>
      </c>
      <c r="G799" s="408"/>
      <c r="H799" s="122">
        <v>9537</v>
      </c>
      <c r="I799" s="122">
        <v>331</v>
      </c>
      <c r="L799">
        <v>3139.46</v>
      </c>
      <c r="N799" s="196">
        <v>45050</v>
      </c>
      <c r="O799">
        <v>9400.6466</v>
      </c>
      <c r="P799">
        <v>7540.4660000000003</v>
      </c>
      <c r="Q799">
        <v>3791.2885449999999</v>
      </c>
      <c r="R799">
        <v>6186.6158999999998</v>
      </c>
    </row>
    <row r="800" spans="1:18" x14ac:dyDescent="0.25">
      <c r="A800" t="str">
        <f>TEXT(Table1[[#This Row],[Date]],"YYYY"&amp;"- "&amp;"MM")</f>
        <v>2023- 03</v>
      </c>
      <c r="B800" s="11">
        <v>44994</v>
      </c>
      <c r="C800" s="10">
        <v>4007.4996350000001</v>
      </c>
      <c r="D800" s="10">
        <v>7882.7160000000003</v>
      </c>
      <c r="E800" s="7">
        <v>10080.408999999996</v>
      </c>
      <c r="F800">
        <v>8573.8155000000006</v>
      </c>
      <c r="G800" s="408"/>
      <c r="H800" s="122">
        <v>9252</v>
      </c>
      <c r="I800" s="122">
        <v>304</v>
      </c>
      <c r="L800">
        <v>3225.4919</v>
      </c>
      <c r="N800" s="196">
        <v>45054</v>
      </c>
      <c r="O800">
        <v>9090.1086000000014</v>
      </c>
      <c r="P800">
        <v>7465.2950000000001</v>
      </c>
      <c r="Q800">
        <v>3724.4400046999999</v>
      </c>
      <c r="R800">
        <v>6122.1318999999994</v>
      </c>
    </row>
    <row r="801" spans="1:18" x14ac:dyDescent="0.25">
      <c r="A801" t="str">
        <f>TEXT(Table1[[#This Row],[Date]],"YYYY"&amp;"- "&amp;"MM")</f>
        <v>2023- 03</v>
      </c>
      <c r="B801" s="11">
        <v>44995</v>
      </c>
      <c r="C801" s="10">
        <v>4006.8656349999997</v>
      </c>
      <c r="D801" s="10">
        <v>8017.4409999999989</v>
      </c>
      <c r="E801" s="7">
        <v>10198.810000000003</v>
      </c>
      <c r="F801">
        <v>8472.5745000000006</v>
      </c>
      <c r="G801" s="408"/>
      <c r="H801" s="122">
        <v>9190</v>
      </c>
      <c r="I801" s="122">
        <v>275</v>
      </c>
      <c r="L801">
        <v>3139.1819</v>
      </c>
      <c r="N801" s="196">
        <v>45055</v>
      </c>
      <c r="O801">
        <v>9179.9661000000015</v>
      </c>
      <c r="P801">
        <v>7555.7150000000001</v>
      </c>
      <c r="Q801">
        <v>3710.0971311000008</v>
      </c>
      <c r="R801">
        <v>6138.3698999999997</v>
      </c>
    </row>
    <row r="802" spans="1:18" x14ac:dyDescent="0.25">
      <c r="A802" t="str">
        <f>TEXT(Table1[[#This Row],[Date]],"YYYY"&amp;"- "&amp;"MM")</f>
        <v>2023- 03</v>
      </c>
      <c r="B802" s="11">
        <v>44998</v>
      </c>
      <c r="C802" s="10">
        <v>4089.5314850000009</v>
      </c>
      <c r="D802" s="10">
        <v>8050.9228999999996</v>
      </c>
      <c r="E802" s="7">
        <v>9692.2633999999998</v>
      </c>
      <c r="F802">
        <v>7972.9889999999996</v>
      </c>
      <c r="G802" s="408"/>
      <c r="H802" s="122">
        <v>9145</v>
      </c>
      <c r="I802" s="122">
        <v>236</v>
      </c>
      <c r="L802">
        <v>3080.3699000000001</v>
      </c>
      <c r="N802" s="196">
        <v>45056</v>
      </c>
      <c r="O802">
        <v>9372.5158999999967</v>
      </c>
      <c r="P802">
        <v>7704.2939999999999</v>
      </c>
      <c r="Q802">
        <v>3550.3507739999991</v>
      </c>
      <c r="R802">
        <v>6349.8379000000014</v>
      </c>
    </row>
    <row r="803" spans="1:18" x14ac:dyDescent="0.25">
      <c r="A803" t="str">
        <f>TEXT(Table1[[#This Row],[Date]],"YYYY"&amp;"- "&amp;"MM")</f>
        <v>2023- 03</v>
      </c>
      <c r="B803" s="11">
        <v>44999</v>
      </c>
      <c r="C803" s="10">
        <v>4099.9298849999996</v>
      </c>
      <c r="D803" s="10">
        <v>8149.6420000000007</v>
      </c>
      <c r="E803" s="7">
        <v>9107.9066000000003</v>
      </c>
      <c r="F803">
        <v>8181.4089999999997</v>
      </c>
      <c r="G803" s="408"/>
      <c r="H803" s="122">
        <v>9279</v>
      </c>
      <c r="I803" s="122">
        <v>198</v>
      </c>
      <c r="L803">
        <v>3306.83</v>
      </c>
      <c r="N803" s="196">
        <v>45057</v>
      </c>
      <c r="O803">
        <v>9643.2371000000021</v>
      </c>
      <c r="P803">
        <v>7732.5059999999994</v>
      </c>
      <c r="Q803">
        <v>3423.1544740000004</v>
      </c>
      <c r="R803">
        <v>6431.5619000000006</v>
      </c>
    </row>
    <row r="804" spans="1:18" x14ac:dyDescent="0.25">
      <c r="A804" t="str">
        <f>TEXT(Table1[[#This Row],[Date]],"YYYY"&amp;"- "&amp;"MM")</f>
        <v>2023- 03</v>
      </c>
      <c r="B804" s="11">
        <v>45000</v>
      </c>
      <c r="C804" s="10">
        <v>4220.4547476000007</v>
      </c>
      <c r="D804" s="10">
        <v>8216.3379999999997</v>
      </c>
      <c r="E804" s="7">
        <v>9079.7736999999961</v>
      </c>
      <c r="F804">
        <v>8246.4279999999999</v>
      </c>
      <c r="G804" s="408"/>
      <c r="H804" s="122">
        <v>9127</v>
      </c>
      <c r="I804" s="122">
        <v>161</v>
      </c>
      <c r="L804">
        <v>3405.6949</v>
      </c>
      <c r="N804" s="196">
        <v>45058</v>
      </c>
      <c r="O804">
        <v>9670.7586000000028</v>
      </c>
      <c r="P804">
        <v>7776.6729999999989</v>
      </c>
      <c r="Q804">
        <v>3433.9772050000001</v>
      </c>
      <c r="R804">
        <v>6314.4908999999998</v>
      </c>
    </row>
    <row r="805" spans="1:18" x14ac:dyDescent="0.25">
      <c r="A805" t="str">
        <f>TEXT(Table1[[#This Row],[Date]],"YYYY"&amp;"- "&amp;"MM")</f>
        <v>2023- 03</v>
      </c>
      <c r="B805" s="11">
        <v>45001</v>
      </c>
      <c r="C805" s="10">
        <v>4019.0063139999997</v>
      </c>
      <c r="D805" s="10">
        <v>8283.1660000000011</v>
      </c>
      <c r="E805" s="7">
        <v>8838.1919999999991</v>
      </c>
      <c r="F805">
        <v>8013.4879999999994</v>
      </c>
      <c r="G805" s="408"/>
      <c r="H805" s="122">
        <v>9005</v>
      </c>
      <c r="I805" s="122">
        <v>272</v>
      </c>
      <c r="L805">
        <v>3533.29</v>
      </c>
      <c r="N805" s="196">
        <v>45061</v>
      </c>
      <c r="O805">
        <v>9794.0877999999993</v>
      </c>
      <c r="P805">
        <v>7882.5649999999987</v>
      </c>
      <c r="Q805">
        <v>3518.4473050000011</v>
      </c>
      <c r="R805">
        <v>6061.8358999999991</v>
      </c>
    </row>
    <row r="806" spans="1:18" x14ac:dyDescent="0.25">
      <c r="A806" t="str">
        <f>TEXT(Table1[[#This Row],[Date]],"YYYY"&amp;"- "&amp;"MM")</f>
        <v>2023- 03</v>
      </c>
      <c r="B806" s="11">
        <v>45002</v>
      </c>
      <c r="C806" s="10">
        <v>3987.1319210000006</v>
      </c>
      <c r="D806" s="10">
        <v>8173.098</v>
      </c>
      <c r="E806" s="7">
        <v>8804.3613999999998</v>
      </c>
      <c r="F806">
        <v>8014.41</v>
      </c>
      <c r="G806" s="408"/>
      <c r="H806" s="122">
        <v>9121</v>
      </c>
      <c r="I806" s="122">
        <v>251</v>
      </c>
      <c r="L806">
        <v>3545.8829999999998</v>
      </c>
      <c r="N806" s="196">
        <v>45062</v>
      </c>
      <c r="O806">
        <v>9909.7851999999984</v>
      </c>
      <c r="P806">
        <v>8029.2639999999992</v>
      </c>
      <c r="Q806">
        <v>3598.4904050000005</v>
      </c>
      <c r="R806">
        <v>6213.0959000000012</v>
      </c>
    </row>
    <row r="807" spans="1:18" x14ac:dyDescent="0.25">
      <c r="A807" t="str">
        <f>TEXT(Table1[[#This Row],[Date]],"YYYY"&amp;"- "&amp;"MM")</f>
        <v>2023- 03</v>
      </c>
      <c r="B807" s="11">
        <v>45005</v>
      </c>
      <c r="C807" s="10">
        <v>3975.8807443000005</v>
      </c>
      <c r="D807" s="10">
        <v>7888.1849000000002</v>
      </c>
      <c r="E807" s="7">
        <v>8163.4295999999977</v>
      </c>
      <c r="F807">
        <v>8099.2829999999994</v>
      </c>
      <c r="G807" s="408"/>
      <c r="H807" s="122">
        <v>8932</v>
      </c>
      <c r="I807" s="122">
        <v>231</v>
      </c>
      <c r="L807">
        <v>3376.723</v>
      </c>
      <c r="N807" s="196">
        <v>45063</v>
      </c>
      <c r="O807">
        <v>10361.989999999998</v>
      </c>
      <c r="P807">
        <v>8263.1560000000009</v>
      </c>
      <c r="Q807">
        <v>3765.2322933000014</v>
      </c>
      <c r="R807">
        <v>6369.5458999999992</v>
      </c>
    </row>
    <row r="808" spans="1:18" x14ac:dyDescent="0.25">
      <c r="A808" t="str">
        <f>TEXT(Table1[[#This Row],[Date]],"YYYY"&amp;"- "&amp;"MM")</f>
        <v>2023- 03</v>
      </c>
      <c r="B808" s="11">
        <v>45006</v>
      </c>
      <c r="C808" s="10">
        <v>4020.6706881999999</v>
      </c>
      <c r="D808" s="10">
        <v>7956.2650000000012</v>
      </c>
      <c r="E808" s="7">
        <v>8140.7380000000003</v>
      </c>
      <c r="F808">
        <v>8275.73</v>
      </c>
      <c r="G808" s="408"/>
      <c r="H808" s="122">
        <v>9163</v>
      </c>
      <c r="I808" s="122">
        <v>211</v>
      </c>
      <c r="L808">
        <v>3570.5940000000001</v>
      </c>
      <c r="N808" s="196">
        <v>45064</v>
      </c>
      <c r="O808">
        <v>10536.749500000002</v>
      </c>
      <c r="P808">
        <v>8277.3469999999998</v>
      </c>
      <c r="Q808">
        <v>3684.1935998000013</v>
      </c>
      <c r="R808">
        <v>6370.9488999999994</v>
      </c>
    </row>
    <row r="809" spans="1:18" x14ac:dyDescent="0.25">
      <c r="A809" t="str">
        <f>TEXT(Table1[[#This Row],[Date]],"YYYY"&amp;"- "&amp;"MM")</f>
        <v>2023- 03</v>
      </c>
      <c r="B809" s="11">
        <v>45007</v>
      </c>
      <c r="C809" s="10">
        <v>4158.7615381999994</v>
      </c>
      <c r="D809" s="10">
        <v>8115.9380000000019</v>
      </c>
      <c r="E809" s="7">
        <v>8005.0807000000004</v>
      </c>
      <c r="F809">
        <v>8350.4279999999999</v>
      </c>
      <c r="G809" s="408"/>
      <c r="H809" s="122">
        <v>8871</v>
      </c>
      <c r="I809" s="122">
        <v>166</v>
      </c>
      <c r="L809">
        <v>3574.6759999999999</v>
      </c>
      <c r="N809" s="196">
        <v>45065</v>
      </c>
      <c r="O809">
        <v>10786.9085</v>
      </c>
      <c r="P809">
        <v>8101.4499999999989</v>
      </c>
      <c r="Q809">
        <v>3661.703115400001</v>
      </c>
      <c r="R809">
        <v>6364.7808999999997</v>
      </c>
    </row>
    <row r="810" spans="1:18" x14ac:dyDescent="0.25">
      <c r="A810" t="str">
        <f>TEXT(Table1[[#This Row],[Date]],"YYYY"&amp;"- "&amp;"MM")</f>
        <v>2023- 03</v>
      </c>
      <c r="B810" s="11">
        <v>45008</v>
      </c>
      <c r="C810" s="10">
        <v>3987.3721284000017</v>
      </c>
      <c r="D810" s="10">
        <v>8167.232</v>
      </c>
      <c r="E810" s="7">
        <v>8147.2260000000006</v>
      </c>
      <c r="F810">
        <v>8240.83</v>
      </c>
      <c r="G810" s="408"/>
      <c r="H810" s="122">
        <v>8382</v>
      </c>
      <c r="I810" s="122">
        <v>278</v>
      </c>
      <c r="L810">
        <v>3823.0529000000001</v>
      </c>
      <c r="N810" s="196">
        <v>45068</v>
      </c>
      <c r="O810">
        <v>10233.215400000001</v>
      </c>
      <c r="P810">
        <v>7661.9889999999996</v>
      </c>
      <c r="Q810">
        <v>3720.9744361000003</v>
      </c>
      <c r="R810">
        <v>6286.9960000000001</v>
      </c>
    </row>
    <row r="811" spans="1:18" x14ac:dyDescent="0.25">
      <c r="A811" t="str">
        <f>TEXT(Table1[[#This Row],[Date]],"YYYY"&amp;"- "&amp;"MM")</f>
        <v>2023- 03</v>
      </c>
      <c r="B811" s="11">
        <v>45009</v>
      </c>
      <c r="C811" s="10">
        <v>3958.4622493999996</v>
      </c>
      <c r="D811" s="10">
        <v>8226.2209999999995</v>
      </c>
      <c r="E811" s="7">
        <v>8401.9766999999974</v>
      </c>
      <c r="F811">
        <v>8144.52</v>
      </c>
      <c r="G811" s="408"/>
      <c r="H811" s="122">
        <v>7920</v>
      </c>
      <c r="I811" s="122">
        <v>217</v>
      </c>
      <c r="L811">
        <v>3702.0378999999998</v>
      </c>
      <c r="N811" s="196">
        <v>45069</v>
      </c>
      <c r="O811">
        <v>10226.328799999997</v>
      </c>
      <c r="P811">
        <v>7850.28</v>
      </c>
      <c r="Q811">
        <v>3698.6580483000012</v>
      </c>
      <c r="R811">
        <v>6635.3000999999995</v>
      </c>
    </row>
    <row r="812" spans="1:18" x14ac:dyDescent="0.25">
      <c r="A812" t="str">
        <f>TEXT(Table1[[#This Row],[Date]],"YYYY"&amp;"- "&amp;"MM")</f>
        <v>2023- 03</v>
      </c>
      <c r="B812" s="11">
        <v>45012</v>
      </c>
      <c r="C812" s="10">
        <v>4062.9174360000006</v>
      </c>
      <c r="D812" s="10">
        <v>7994.1130000000003</v>
      </c>
      <c r="E812" s="7">
        <v>8209.2708999999995</v>
      </c>
      <c r="F812">
        <v>7708.0379999999996</v>
      </c>
      <c r="G812" s="408"/>
      <c r="H812" s="122">
        <v>7523</v>
      </c>
      <c r="I812" s="122">
        <v>184</v>
      </c>
      <c r="L812">
        <v>3407.7220000000002</v>
      </c>
      <c r="N812" s="196">
        <v>45070</v>
      </c>
      <c r="O812">
        <v>10390.059199999996</v>
      </c>
      <c r="P812">
        <v>7831.2709999999997</v>
      </c>
      <c r="Q812">
        <v>3846.7272338000012</v>
      </c>
      <c r="R812">
        <v>6804.6451000000006</v>
      </c>
    </row>
    <row r="813" spans="1:18" x14ac:dyDescent="0.25">
      <c r="A813" t="str">
        <f>TEXT(Table1[[#This Row],[Date]],"YYYY"&amp;"- "&amp;"MM")</f>
        <v>2023- 03</v>
      </c>
      <c r="B813" s="11">
        <v>45013</v>
      </c>
      <c r="C813" s="10">
        <v>4074.0306492999998</v>
      </c>
      <c r="D813" s="10">
        <v>8152.79</v>
      </c>
      <c r="E813" s="7">
        <v>8394.0383000000002</v>
      </c>
      <c r="F813">
        <v>7884.7089999999998</v>
      </c>
      <c r="G813" s="408"/>
      <c r="H813" s="122">
        <v>7301</v>
      </c>
      <c r="I813" s="122">
        <v>206</v>
      </c>
      <c r="L813">
        <v>3416.3933999999999</v>
      </c>
      <c r="N813" s="196">
        <v>45071</v>
      </c>
      <c r="O813">
        <v>10342.199500000002</v>
      </c>
      <c r="P813">
        <v>7606.5640000000003</v>
      </c>
      <c r="Q813">
        <v>3693.9073529999996</v>
      </c>
      <c r="R813">
        <v>6952.4061000000011</v>
      </c>
    </row>
    <row r="814" spans="1:18" x14ac:dyDescent="0.25">
      <c r="A814" t="str">
        <f>TEXT(Table1[[#This Row],[Date]],"YYYY"&amp;"- "&amp;"MM")</f>
        <v>2023- 03</v>
      </c>
      <c r="B814" s="11">
        <v>45014</v>
      </c>
      <c r="C814" s="10">
        <v>4107.382171000002</v>
      </c>
      <c r="D814" s="10">
        <v>8091.3782000000001</v>
      </c>
      <c r="E814" s="7">
        <v>8292.9871999999996</v>
      </c>
      <c r="F814">
        <v>7987.4650000000001</v>
      </c>
      <c r="G814" s="408"/>
      <c r="H814" s="122">
        <v>7010</v>
      </c>
      <c r="I814" s="122">
        <v>251</v>
      </c>
      <c r="L814">
        <v>3533.2429999999999</v>
      </c>
      <c r="N814" s="196">
        <v>45072</v>
      </c>
      <c r="O814">
        <v>10362.195799999998</v>
      </c>
      <c r="P814">
        <v>7328.4605000000001</v>
      </c>
      <c r="Q814">
        <v>3719.7162134</v>
      </c>
      <c r="R814">
        <v>7058.4020999999993</v>
      </c>
    </row>
    <row r="815" spans="1:18" x14ac:dyDescent="0.25">
      <c r="A815" t="str">
        <f>TEXT(Table1[[#This Row],[Date]],"YYYY"&amp;"- "&amp;"MM")</f>
        <v>2023- 03</v>
      </c>
      <c r="B815" s="11">
        <v>45015</v>
      </c>
      <c r="C815" s="10">
        <v>4093.3575410000017</v>
      </c>
      <c r="D815" s="10">
        <v>8066.8142000000007</v>
      </c>
      <c r="E815" s="7">
        <v>8353.6795000000002</v>
      </c>
      <c r="F815">
        <v>7893.3639999999996</v>
      </c>
      <c r="G815" s="408"/>
      <c r="H815" s="122">
        <v>6963</v>
      </c>
      <c r="I815" s="122">
        <v>145</v>
      </c>
      <c r="L815">
        <v>3375.0589</v>
      </c>
      <c r="N815" s="196">
        <v>45075</v>
      </c>
      <c r="O815">
        <v>9900.7883000000002</v>
      </c>
      <c r="P815">
        <v>7104.0195000000003</v>
      </c>
      <c r="Q815">
        <v>3884.3313253000006</v>
      </c>
      <c r="R815">
        <v>6951.8199000000004</v>
      </c>
    </row>
    <row r="816" spans="1:18" x14ac:dyDescent="0.25">
      <c r="A816" t="str">
        <f>TEXT(Table1[[#This Row],[Date]],"YYYY"&amp;"- "&amp;"MM")</f>
        <v>2023- 03</v>
      </c>
      <c r="B816" s="11">
        <v>45016</v>
      </c>
      <c r="C816" s="10">
        <v>4172.5855410000013</v>
      </c>
      <c r="D816" s="10">
        <v>7919.3842000000022</v>
      </c>
      <c r="E816" s="7">
        <v>8500.8803000000007</v>
      </c>
      <c r="F816">
        <v>7757.3649999999998</v>
      </c>
      <c r="G816" s="408"/>
      <c r="H816" s="122">
        <v>6757</v>
      </c>
      <c r="I816" s="122">
        <v>156</v>
      </c>
      <c r="L816">
        <v>3263.6248999999998</v>
      </c>
      <c r="N816" s="196">
        <v>45076</v>
      </c>
      <c r="O816">
        <v>10015.081499999997</v>
      </c>
      <c r="P816">
        <v>7212.4035000000003</v>
      </c>
      <c r="Q816">
        <v>3888.8244915000005</v>
      </c>
      <c r="R816">
        <v>7068.6099000000004</v>
      </c>
    </row>
    <row r="817" spans="1:18" x14ac:dyDescent="0.25">
      <c r="A817" t="str">
        <f>TEXT(Table1[[#This Row],[Date]],"YYYY"&amp;"- "&amp;"MM")</f>
        <v>2023- 04</v>
      </c>
      <c r="B817" s="11">
        <v>45019</v>
      </c>
      <c r="C817" s="10">
        <v>4002.2956410000006</v>
      </c>
      <c r="D817" s="10">
        <v>7706.6512000000002</v>
      </c>
      <c r="E817" s="7">
        <v>8353.883600000001</v>
      </c>
      <c r="F817">
        <v>7837.9870000000001</v>
      </c>
      <c r="G817" s="408"/>
      <c r="H817" s="122">
        <v>6831</v>
      </c>
      <c r="I817" s="122">
        <v>269</v>
      </c>
      <c r="L817">
        <v>3046.3998999999999</v>
      </c>
      <c r="N817" s="196">
        <v>45077</v>
      </c>
      <c r="O817">
        <v>10235.396499999999</v>
      </c>
      <c r="P817">
        <v>7239.8355000000001</v>
      </c>
      <c r="Q817">
        <v>3997.9878750000003</v>
      </c>
      <c r="R817">
        <v>6978.1608999999999</v>
      </c>
    </row>
    <row r="818" spans="1:18" x14ac:dyDescent="0.25">
      <c r="A818" t="str">
        <f>TEXT(Table1[[#This Row],[Date]],"YYYY"&amp;"- "&amp;"MM")</f>
        <v>2023- 04</v>
      </c>
      <c r="B818" s="11">
        <v>45020</v>
      </c>
      <c r="C818" s="10">
        <v>4002.2956410000006</v>
      </c>
      <c r="D818" s="10">
        <v>7706.6512000000002</v>
      </c>
      <c r="E818" s="7">
        <v>8353.883600000001</v>
      </c>
      <c r="F818">
        <v>7837.9870000000001</v>
      </c>
      <c r="G818" s="408"/>
      <c r="H818" s="122">
        <v>6771</v>
      </c>
      <c r="I818" s="122">
        <v>175</v>
      </c>
      <c r="L818">
        <v>3046.3998999999999</v>
      </c>
      <c r="N818" s="196">
        <v>45078</v>
      </c>
      <c r="O818">
        <v>10109.493999999999</v>
      </c>
      <c r="P818">
        <v>7025.5315000000001</v>
      </c>
      <c r="Q818">
        <v>3895.5321749999998</v>
      </c>
      <c r="R818">
        <v>6850.9069</v>
      </c>
    </row>
    <row r="819" spans="1:18" x14ac:dyDescent="0.25">
      <c r="A819" t="str">
        <f>TEXT(Table1[[#This Row],[Date]],"YYYY"&amp;"- "&amp;"MM")</f>
        <v>2023- 04</v>
      </c>
      <c r="B819" s="11">
        <v>45022</v>
      </c>
      <c r="C819" s="10">
        <v>4042.6023468000008</v>
      </c>
      <c r="D819" s="10">
        <v>7633.2860999999984</v>
      </c>
      <c r="E819" s="7">
        <v>8869.9628000000048</v>
      </c>
      <c r="F819">
        <v>7773.2009999999991</v>
      </c>
      <c r="G819" s="408"/>
      <c r="H819" s="122">
        <v>6445</v>
      </c>
      <c r="I819" s="122">
        <v>213</v>
      </c>
      <c r="L819">
        <v>3124.4960000000001</v>
      </c>
      <c r="N819" s="196">
        <v>45079</v>
      </c>
      <c r="O819">
        <v>10203.001200000001</v>
      </c>
      <c r="P819">
        <v>6943.7494999999999</v>
      </c>
      <c r="Q819">
        <v>3975.5734749999992</v>
      </c>
      <c r="R819">
        <v>6819.4758999999995</v>
      </c>
    </row>
    <row r="820" spans="1:18" x14ac:dyDescent="0.25">
      <c r="A820" t="str">
        <f>TEXT(Table1[[#This Row],[Date]],"YYYY"&amp;"- "&amp;"MM")</f>
        <v>2023- 04</v>
      </c>
      <c r="B820" s="11">
        <v>45023</v>
      </c>
      <c r="C820" s="10">
        <v>4110.7233513000001</v>
      </c>
      <c r="D820" s="10">
        <v>7901.4241999999995</v>
      </c>
      <c r="E820" s="7">
        <v>9003.1434999999965</v>
      </c>
      <c r="F820">
        <v>7800.8119999999999</v>
      </c>
      <c r="G820" s="408"/>
      <c r="H820" s="122">
        <v>6539</v>
      </c>
      <c r="I820" s="122">
        <v>214</v>
      </c>
      <c r="L820">
        <v>3006.027</v>
      </c>
      <c r="N820" s="196">
        <v>45082</v>
      </c>
      <c r="O820">
        <v>10203.001200000001</v>
      </c>
      <c r="P820">
        <v>6943.7494999999999</v>
      </c>
      <c r="Q820">
        <v>3975.5734749999992</v>
      </c>
      <c r="R820">
        <v>6819.4758999999995</v>
      </c>
    </row>
    <row r="821" spans="1:18" x14ac:dyDescent="0.25">
      <c r="A821" t="str">
        <f>TEXT(Table1[[#This Row],[Date]],"YYYY"&amp;"- "&amp;"MM")</f>
        <v>2023- 04</v>
      </c>
      <c r="B821" s="11">
        <v>45026</v>
      </c>
      <c r="C821" s="10">
        <v>4187.5847513000017</v>
      </c>
      <c r="D821" s="10">
        <v>7792.0181999999986</v>
      </c>
      <c r="E821" s="7">
        <v>8584.2172999999984</v>
      </c>
      <c r="F821">
        <v>7569.75</v>
      </c>
      <c r="G821" s="408"/>
      <c r="H821" s="122">
        <v>6933</v>
      </c>
      <c r="I821" s="122">
        <v>119</v>
      </c>
      <c r="L821">
        <v>2845.4459000000002</v>
      </c>
      <c r="N821" s="196">
        <v>45083</v>
      </c>
      <c r="O821">
        <v>10072.040099999998</v>
      </c>
      <c r="P821">
        <v>6906.7134999999998</v>
      </c>
      <c r="Q821">
        <v>3994.4202749999999</v>
      </c>
      <c r="R821">
        <v>6680.1239999999998</v>
      </c>
    </row>
    <row r="822" spans="1:18" x14ac:dyDescent="0.25">
      <c r="A822" t="str">
        <f>TEXT(Table1[[#This Row],[Date]],"YYYY"&amp;"- "&amp;"MM")</f>
        <v>2023- 04</v>
      </c>
      <c r="B822" s="11">
        <v>45033</v>
      </c>
      <c r="C822" s="10">
        <v>4205.9700512999989</v>
      </c>
      <c r="D822" s="10">
        <v>7753.9221999999991</v>
      </c>
      <c r="E822" s="7">
        <v>9298.1760999999988</v>
      </c>
      <c r="F822">
        <v>7815.351999999999</v>
      </c>
      <c r="G822" s="408"/>
      <c r="H822" s="122">
        <v>7469</v>
      </c>
      <c r="I822" s="122">
        <v>92</v>
      </c>
      <c r="L822">
        <v>2847.7029000000002</v>
      </c>
      <c r="N822" s="196">
        <v>45084</v>
      </c>
      <c r="O822">
        <v>10541.817899999998</v>
      </c>
      <c r="P822">
        <v>7281.8315000000002</v>
      </c>
      <c r="Q822">
        <v>4096.6214668999992</v>
      </c>
      <c r="R822">
        <v>6797.3128999999999</v>
      </c>
    </row>
    <row r="823" spans="1:18" x14ac:dyDescent="0.25">
      <c r="A823" t="str">
        <f>TEXT(Table1[[#This Row],[Date]],"YYYY"&amp;"- "&amp;"MM")</f>
        <v>2023- 04</v>
      </c>
      <c r="B823" s="11">
        <v>45034</v>
      </c>
      <c r="C823" s="10">
        <v>4126.9134513000008</v>
      </c>
      <c r="D823" s="10">
        <v>7760.3340999999991</v>
      </c>
      <c r="E823" s="7">
        <v>9301.7802000000011</v>
      </c>
      <c r="F823">
        <v>7924.128999999999</v>
      </c>
      <c r="G823" s="408"/>
      <c r="H823" s="122">
        <v>7469</v>
      </c>
      <c r="I823" s="122">
        <v>92</v>
      </c>
      <c r="L823">
        <v>2847.7029000000002</v>
      </c>
      <c r="N823" s="196">
        <v>45085</v>
      </c>
      <c r="O823">
        <v>10640.995499999999</v>
      </c>
      <c r="P823">
        <v>7465.3114999999998</v>
      </c>
      <c r="Q823">
        <v>3937.8281250000005</v>
      </c>
      <c r="R823">
        <v>6878.9378999999999</v>
      </c>
    </row>
    <row r="824" spans="1:18" x14ac:dyDescent="0.25">
      <c r="A824" t="str">
        <f>TEXT(Table1[[#This Row],[Date]],"YYYY"&amp;"- "&amp;"MM")</f>
        <v>2023- 04</v>
      </c>
      <c r="B824" s="11">
        <v>45035</v>
      </c>
      <c r="C824" s="10">
        <v>4161.4706377000011</v>
      </c>
      <c r="D824" s="10">
        <v>7565.6200999999992</v>
      </c>
      <c r="E824" s="7">
        <v>9433.7200999999986</v>
      </c>
      <c r="F824">
        <v>7897.3259999999991</v>
      </c>
      <c r="G824" s="408"/>
      <c r="H824" s="122">
        <v>7404</v>
      </c>
      <c r="I824" s="122">
        <v>114</v>
      </c>
      <c r="L824">
        <v>3040.8699000000001</v>
      </c>
      <c r="N824" s="196">
        <v>45086</v>
      </c>
      <c r="O824">
        <v>11256.960700000003</v>
      </c>
      <c r="P824">
        <v>7602.0609999999997</v>
      </c>
      <c r="Q824">
        <v>4084.944625000001</v>
      </c>
      <c r="R824">
        <v>7064.4098999999997</v>
      </c>
    </row>
    <row r="825" spans="1:18" x14ac:dyDescent="0.25">
      <c r="A825" t="str">
        <f>TEXT(Table1[[#This Row],[Date]],"YYYY"&amp;"- "&amp;"MM")</f>
        <v>2023- 04</v>
      </c>
      <c r="B825" s="11">
        <v>45036</v>
      </c>
      <c r="C825" s="10">
        <v>3984.0050302000004</v>
      </c>
      <c r="D825" s="10">
        <v>7446.3931000000002</v>
      </c>
      <c r="E825" s="7">
        <v>9721.9777999999988</v>
      </c>
      <c r="F825">
        <v>7617.3429999999989</v>
      </c>
      <c r="G825" s="408"/>
      <c r="H825" s="122">
        <v>7336</v>
      </c>
      <c r="I825" s="122">
        <v>61</v>
      </c>
      <c r="L825">
        <v>3136.7039</v>
      </c>
      <c r="N825" s="196">
        <v>45089</v>
      </c>
      <c r="O825">
        <v>10641.846600000004</v>
      </c>
      <c r="P825">
        <v>7217.5259999999998</v>
      </c>
      <c r="Q825">
        <v>4163.0326249999998</v>
      </c>
      <c r="R825">
        <v>6877.2708999999995</v>
      </c>
    </row>
    <row r="826" spans="1:18" x14ac:dyDescent="0.25">
      <c r="A826" t="str">
        <f>TEXT(Table1[[#This Row],[Date]],"YYYY"&amp;"- "&amp;"MM")</f>
        <v>2023- 04</v>
      </c>
      <c r="B826" s="11">
        <v>45037</v>
      </c>
      <c r="C826" s="10">
        <v>4133.7889562</v>
      </c>
      <c r="D826" s="10">
        <v>7463.5690999999988</v>
      </c>
      <c r="E826" s="7">
        <v>9986.1178</v>
      </c>
      <c r="F826">
        <v>7562.7889999999989</v>
      </c>
      <c r="G826" s="408"/>
      <c r="H826" s="122">
        <v>7411</v>
      </c>
      <c r="I826" s="122">
        <v>127</v>
      </c>
      <c r="L826">
        <v>3311.9569000000001</v>
      </c>
      <c r="N826" s="196">
        <v>45091</v>
      </c>
      <c r="O826">
        <v>10559.5926</v>
      </c>
      <c r="P826">
        <v>7705.4040000000005</v>
      </c>
      <c r="Q826">
        <v>4341.8032690000009</v>
      </c>
      <c r="R826">
        <v>7199.5879999999997</v>
      </c>
    </row>
    <row r="827" spans="1:18" x14ac:dyDescent="0.25">
      <c r="A827" t="str">
        <f>TEXT(Table1[[#This Row],[Date]],"YYYY"&amp;"- "&amp;"MM")</f>
        <v>2023- 04</v>
      </c>
      <c r="B827" s="11">
        <v>45040</v>
      </c>
      <c r="C827" s="10">
        <v>3923.1901405000003</v>
      </c>
      <c r="D827" s="10">
        <v>7126.588999999999</v>
      </c>
      <c r="E827" s="7">
        <v>10097.686400000001</v>
      </c>
      <c r="F827">
        <v>7484.3279999999995</v>
      </c>
      <c r="G827" s="408"/>
      <c r="H827" s="122">
        <v>6992</v>
      </c>
      <c r="I827" s="122">
        <v>239</v>
      </c>
      <c r="L827">
        <v>3264.19</v>
      </c>
      <c r="N827" s="196">
        <v>45092</v>
      </c>
      <c r="O827">
        <v>10356.783899999999</v>
      </c>
      <c r="P827">
        <v>7854.9</v>
      </c>
      <c r="Q827">
        <v>4184.0102690000003</v>
      </c>
      <c r="R827">
        <v>7227.1890000000003</v>
      </c>
    </row>
    <row r="828" spans="1:18" x14ac:dyDescent="0.25">
      <c r="A828" t="str">
        <f>TEXT(Table1[[#This Row],[Date]],"YYYY"&amp;"- "&amp;"MM")</f>
        <v>2023- 04</v>
      </c>
      <c r="B828" s="11">
        <v>45041</v>
      </c>
      <c r="C828" s="10">
        <v>3935.6921136000005</v>
      </c>
      <c r="D828" s="10">
        <v>7134.4689000000008</v>
      </c>
      <c r="E828" s="7">
        <v>10198.591499999997</v>
      </c>
      <c r="F828">
        <v>7543.8119999999999</v>
      </c>
      <c r="G828" s="408"/>
      <c r="H828" s="122">
        <v>6848</v>
      </c>
      <c r="I828" s="122">
        <v>194</v>
      </c>
      <c r="L828">
        <v>3275.9708999999998</v>
      </c>
      <c r="N828" s="196">
        <v>45093</v>
      </c>
      <c r="O828">
        <v>10376.0442</v>
      </c>
      <c r="P828">
        <v>7618.5259999999998</v>
      </c>
      <c r="Q828">
        <v>4345.821418999999</v>
      </c>
      <c r="R828">
        <v>7265.634</v>
      </c>
    </row>
    <row r="829" spans="1:18" x14ac:dyDescent="0.25">
      <c r="A829" t="str">
        <f>TEXT(Table1[[#This Row],[Date]],"YYYY"&amp;"- "&amp;"MM")</f>
        <v>2023- 04</v>
      </c>
      <c r="B829" s="11">
        <v>45042</v>
      </c>
      <c r="C829" s="10">
        <v>3935.6921136000005</v>
      </c>
      <c r="D829" s="10">
        <v>7134.4689000000008</v>
      </c>
      <c r="E829" s="7">
        <v>10198.591499999997</v>
      </c>
      <c r="F829">
        <v>7543.8119999999999</v>
      </c>
      <c r="G829" s="408"/>
      <c r="H829" s="122">
        <v>6586</v>
      </c>
      <c r="I829" s="122">
        <v>223</v>
      </c>
      <c r="L829">
        <v>3275.9708999999998</v>
      </c>
      <c r="N829" s="196">
        <v>45096</v>
      </c>
      <c r="O829">
        <v>9625.7346999999991</v>
      </c>
      <c r="P829">
        <v>7385.82</v>
      </c>
      <c r="Q829">
        <v>4446.2487190000002</v>
      </c>
      <c r="R829">
        <v>7170.424</v>
      </c>
    </row>
    <row r="830" spans="1:18" x14ac:dyDescent="0.25">
      <c r="A830" t="str">
        <f>TEXT(Table1[[#This Row],[Date]],"YYYY"&amp;"- "&amp;"MM")</f>
        <v>2023- 04</v>
      </c>
      <c r="B830" s="11">
        <v>45043</v>
      </c>
      <c r="C830" s="10">
        <v>3795.5908441000006</v>
      </c>
      <c r="D830" s="10">
        <v>7020.6519000000008</v>
      </c>
      <c r="E830" s="7">
        <v>9923.7808999999979</v>
      </c>
      <c r="F830">
        <v>7408.4105</v>
      </c>
      <c r="G830" s="408"/>
      <c r="H830" s="122">
        <v>6593</v>
      </c>
      <c r="I830" s="122">
        <v>187</v>
      </c>
      <c r="L830">
        <v>3349.2638999999999</v>
      </c>
      <c r="N830" s="196">
        <v>45097</v>
      </c>
      <c r="O830">
        <v>9845.1732999999986</v>
      </c>
      <c r="P830">
        <v>7642.8950000000004</v>
      </c>
      <c r="Q830">
        <v>4383.7953324999999</v>
      </c>
      <c r="R830">
        <v>7295.2959999999994</v>
      </c>
    </row>
    <row r="831" spans="1:18" x14ac:dyDescent="0.25">
      <c r="A831" t="str">
        <f>TEXT(Table1[[#This Row],[Date]],"YYYY"&amp;"- "&amp;"MM")</f>
        <v>2023- 04</v>
      </c>
      <c r="B831" s="11">
        <v>45044</v>
      </c>
      <c r="C831" s="10">
        <v>3794.1599591000008</v>
      </c>
      <c r="D831" s="10">
        <v>6864.8429000000006</v>
      </c>
      <c r="E831" s="7">
        <v>9831.5429000000004</v>
      </c>
      <c r="F831">
        <v>7407.1124999999993</v>
      </c>
      <c r="G831" s="408"/>
      <c r="H831" s="122">
        <v>6648</v>
      </c>
      <c r="I831" s="122">
        <v>158</v>
      </c>
      <c r="L831">
        <v>3297.7719000000002</v>
      </c>
      <c r="N831" s="196">
        <v>45098</v>
      </c>
      <c r="O831">
        <v>10089.220799999996</v>
      </c>
      <c r="P831">
        <v>7662.25</v>
      </c>
      <c r="Q831">
        <v>4267.6793833999991</v>
      </c>
      <c r="R831">
        <v>7336.6338999999998</v>
      </c>
    </row>
    <row r="832" spans="1:18" x14ac:dyDescent="0.25">
      <c r="A832" t="str">
        <f>TEXT(Table1[[#This Row],[Date]],"YYYY"&amp;"- "&amp;"MM")</f>
        <v>2023- 05</v>
      </c>
      <c r="B832" s="11">
        <v>45048</v>
      </c>
      <c r="C832" s="10">
        <v>3865.5011449999993</v>
      </c>
      <c r="D832" s="10">
        <v>6533.7609000000002</v>
      </c>
      <c r="E832" s="7">
        <v>9359.0434999999998</v>
      </c>
      <c r="F832">
        <v>7311.628999999999</v>
      </c>
      <c r="G832" s="408"/>
      <c r="H832" s="122">
        <v>6853</v>
      </c>
      <c r="I832" s="122">
        <v>212</v>
      </c>
      <c r="L832">
        <v>3208.3108999999999</v>
      </c>
      <c r="N832" s="196">
        <v>45099</v>
      </c>
      <c r="O832">
        <v>10152.1718</v>
      </c>
      <c r="P832">
        <v>7529.326</v>
      </c>
      <c r="Q832">
        <v>4117.4874200000004</v>
      </c>
      <c r="R832">
        <v>7324.9549999999999</v>
      </c>
    </row>
    <row r="833" spans="1:18" x14ac:dyDescent="0.25">
      <c r="A833" t="str">
        <f>TEXT(Table1[[#This Row],[Date]],"YYYY"&amp;"- "&amp;"MM")</f>
        <v>2023- 05</v>
      </c>
      <c r="B833" s="11">
        <v>45049</v>
      </c>
      <c r="C833" s="10">
        <v>3959.0688449999998</v>
      </c>
      <c r="D833" s="10">
        <v>6366.2148999999999</v>
      </c>
      <c r="E833" s="7">
        <v>9367.124600000001</v>
      </c>
      <c r="F833">
        <v>7518.6509999999998</v>
      </c>
      <c r="G833" s="408"/>
      <c r="H833" s="122">
        <v>6893</v>
      </c>
      <c r="I833" s="122">
        <v>193</v>
      </c>
      <c r="L833">
        <v>3387.4069</v>
      </c>
      <c r="N833" s="196">
        <v>45100</v>
      </c>
      <c r="O833">
        <v>10571.250100000003</v>
      </c>
      <c r="P833">
        <v>7717.25</v>
      </c>
      <c r="Q833">
        <v>4235.566108</v>
      </c>
      <c r="R833">
        <v>7203.1260000000002</v>
      </c>
    </row>
    <row r="834" spans="1:18" x14ac:dyDescent="0.25">
      <c r="A834" t="str">
        <f>TEXT(Table1[[#This Row],[Date]],"YYYY"&amp;"- "&amp;"MM")</f>
        <v>2023- 05</v>
      </c>
      <c r="B834" s="11">
        <v>45050</v>
      </c>
      <c r="C834" s="10">
        <v>3791.2885449999999</v>
      </c>
      <c r="D834" s="10">
        <v>6186.6158999999998</v>
      </c>
      <c r="E834" s="7">
        <v>9400.6466</v>
      </c>
      <c r="F834">
        <v>7540.4660000000003</v>
      </c>
      <c r="G834" s="408"/>
      <c r="H834" s="122">
        <v>6819</v>
      </c>
      <c r="I834" s="122">
        <v>288</v>
      </c>
      <c r="L834">
        <v>3278.6149999999998</v>
      </c>
      <c r="N834" s="196">
        <v>45103</v>
      </c>
      <c r="O834">
        <v>10202.344400000004</v>
      </c>
      <c r="P834">
        <v>7202.3225000000002</v>
      </c>
      <c r="Q834">
        <v>4213.4237207999995</v>
      </c>
      <c r="R834">
        <v>6563.09</v>
      </c>
    </row>
    <row r="835" spans="1:18" x14ac:dyDescent="0.25">
      <c r="A835" t="str">
        <f>TEXT(Table1[[#This Row],[Date]],"YYYY"&amp;"- "&amp;"MM")</f>
        <v>2023- 05</v>
      </c>
      <c r="B835" s="11">
        <v>45054</v>
      </c>
      <c r="C835" s="10">
        <v>3724.4400046999999</v>
      </c>
      <c r="D835" s="10">
        <v>6122.1318999999994</v>
      </c>
      <c r="E835" s="7">
        <v>9090.1086000000014</v>
      </c>
      <c r="F835">
        <v>7465.2950000000001</v>
      </c>
      <c r="G835" s="408"/>
      <c r="H835" s="122">
        <v>7225</v>
      </c>
      <c r="I835" s="122">
        <v>399</v>
      </c>
      <c r="L835">
        <v>2985.5689000000002</v>
      </c>
      <c r="N835" s="196">
        <v>45104</v>
      </c>
      <c r="O835">
        <v>9550.8622000000014</v>
      </c>
      <c r="P835">
        <v>7208.8630000000003</v>
      </c>
      <c r="Q835">
        <v>4249.0075051999993</v>
      </c>
      <c r="R835">
        <v>6539.0549999999985</v>
      </c>
    </row>
    <row r="836" spans="1:18" x14ac:dyDescent="0.25">
      <c r="A836" t="str">
        <f>TEXT(Table1[[#This Row],[Date]],"YYYY"&amp;"- "&amp;"MM")</f>
        <v>2023- 05</v>
      </c>
      <c r="B836" s="11">
        <v>45055</v>
      </c>
      <c r="C836" s="10">
        <v>3710.0971311000008</v>
      </c>
      <c r="D836" s="10">
        <v>6138.3698999999997</v>
      </c>
      <c r="E836" s="7">
        <v>9179.9661000000015</v>
      </c>
      <c r="F836">
        <v>7555.7150000000001</v>
      </c>
      <c r="G836" s="408"/>
      <c r="H836" s="122">
        <v>7379</v>
      </c>
      <c r="I836" s="122">
        <v>466</v>
      </c>
      <c r="L836">
        <v>2976.0448999999999</v>
      </c>
      <c r="N836" s="196">
        <v>45105</v>
      </c>
      <c r="O836">
        <v>9809.8439999999991</v>
      </c>
      <c r="P836">
        <v>7261.2380000000003</v>
      </c>
      <c r="Q836">
        <v>4195.8921829999999</v>
      </c>
      <c r="R836">
        <v>6675.7279999999992</v>
      </c>
    </row>
    <row r="837" spans="1:18" x14ac:dyDescent="0.25">
      <c r="A837" t="str">
        <f>TEXT(Table1[[#This Row],[Date]],"YYYY"&amp;"- "&amp;"MM")</f>
        <v>2023- 05</v>
      </c>
      <c r="B837" s="11">
        <v>45056</v>
      </c>
      <c r="C837" s="10">
        <v>3550.3507739999991</v>
      </c>
      <c r="D837" s="10">
        <v>6349.8379000000014</v>
      </c>
      <c r="E837" s="7">
        <v>9372.5158999999967</v>
      </c>
      <c r="F837">
        <v>7704.2939999999999</v>
      </c>
      <c r="G837" s="408"/>
      <c r="H837" s="122">
        <v>7414</v>
      </c>
      <c r="I837" s="122">
        <v>577</v>
      </c>
      <c r="L837">
        <v>3056.6759000000002</v>
      </c>
      <c r="N837" s="196">
        <v>45106</v>
      </c>
      <c r="O837">
        <v>9575.1305000000029</v>
      </c>
      <c r="P837">
        <v>7739.0360000000001</v>
      </c>
      <c r="Q837">
        <v>4248.9999853000008</v>
      </c>
      <c r="R837">
        <v>6821.4139999999998</v>
      </c>
    </row>
    <row r="838" spans="1:18" x14ac:dyDescent="0.25">
      <c r="A838" t="str">
        <f>TEXT(Table1[[#This Row],[Date]],"YYYY"&amp;"- "&amp;"MM")</f>
        <v>2023- 05</v>
      </c>
      <c r="B838" s="11">
        <v>45057</v>
      </c>
      <c r="C838" s="10">
        <v>3423.1544740000004</v>
      </c>
      <c r="D838" s="10">
        <v>6431.5619000000006</v>
      </c>
      <c r="E838" s="7">
        <v>9643.2371000000021</v>
      </c>
      <c r="F838">
        <v>7732.5059999999994</v>
      </c>
      <c r="G838" s="408"/>
      <c r="H838" s="122">
        <v>7703</v>
      </c>
      <c r="I838" s="122">
        <v>556</v>
      </c>
      <c r="L838">
        <v>3062.1860000000001</v>
      </c>
      <c r="N838" s="196">
        <v>45107</v>
      </c>
      <c r="O838">
        <v>9664.0006999999987</v>
      </c>
      <c r="P838">
        <v>7771.9409999999998</v>
      </c>
      <c r="Q838">
        <v>4307.2507859999996</v>
      </c>
      <c r="R838">
        <v>6940.8360000000002</v>
      </c>
    </row>
    <row r="839" spans="1:18" x14ac:dyDescent="0.25">
      <c r="A839" t="str">
        <f>TEXT(Table1[[#This Row],[Date]],"YYYY"&amp;"- "&amp;"MM")</f>
        <v>2023- 05</v>
      </c>
      <c r="B839" s="11">
        <v>45058</v>
      </c>
      <c r="C839" s="10">
        <v>3433.9772050000001</v>
      </c>
      <c r="D839" s="10">
        <v>6314.4908999999998</v>
      </c>
      <c r="E839" s="7">
        <v>9670.7586000000028</v>
      </c>
      <c r="F839">
        <v>7776.6729999999989</v>
      </c>
      <c r="G839" s="408"/>
      <c r="H839" s="122">
        <v>7739</v>
      </c>
      <c r="I839" s="122">
        <v>571</v>
      </c>
      <c r="L839">
        <v>3083.8179</v>
      </c>
      <c r="N839" s="196">
        <v>45111</v>
      </c>
      <c r="O839">
        <v>9206.8131999999987</v>
      </c>
      <c r="P839">
        <v>7522.0910000000003</v>
      </c>
      <c r="Q839">
        <v>4354.7991860000011</v>
      </c>
      <c r="R839">
        <v>6386.4809999999998</v>
      </c>
    </row>
    <row r="840" spans="1:18" x14ac:dyDescent="0.25">
      <c r="A840" t="str">
        <f>TEXT(Table1[[#This Row],[Date]],"YYYY"&amp;"- "&amp;"MM")</f>
        <v>2023- 05</v>
      </c>
      <c r="B840" s="11">
        <v>45061</v>
      </c>
      <c r="C840" s="10">
        <v>3518.4473050000011</v>
      </c>
      <c r="D840" s="10">
        <v>6061.8358999999991</v>
      </c>
      <c r="E840" s="7">
        <v>9794.0877999999993</v>
      </c>
      <c r="F840">
        <v>7882.5649999999987</v>
      </c>
      <c r="G840" s="408"/>
      <c r="H840" s="122">
        <v>7945</v>
      </c>
      <c r="I840" s="122">
        <v>546</v>
      </c>
      <c r="L840">
        <v>2979.7139000000002</v>
      </c>
      <c r="N840" s="196">
        <v>45112</v>
      </c>
      <c r="O840">
        <v>9347.7569000000021</v>
      </c>
      <c r="P840">
        <v>7747.2439999999997</v>
      </c>
      <c r="Q840">
        <v>4328.3594119999998</v>
      </c>
      <c r="R840">
        <v>6605.2569999999996</v>
      </c>
    </row>
    <row r="841" spans="1:18" x14ac:dyDescent="0.25">
      <c r="A841" t="str">
        <f>TEXT(Table1[[#This Row],[Date]],"YYYY"&amp;"- "&amp;"MM")</f>
        <v>2023- 05</v>
      </c>
      <c r="B841" s="11">
        <v>45062</v>
      </c>
      <c r="C841" s="10">
        <v>3598.4904050000005</v>
      </c>
      <c r="D841" s="10">
        <v>6213.0959000000012</v>
      </c>
      <c r="E841" s="7">
        <v>9909.7851999999984</v>
      </c>
      <c r="F841">
        <v>8029.2639999999992</v>
      </c>
      <c r="G841" s="408"/>
      <c r="H841" s="122">
        <v>7886</v>
      </c>
      <c r="I841" s="122">
        <v>546</v>
      </c>
      <c r="L841">
        <v>3068.1608999999999</v>
      </c>
      <c r="N841" s="196">
        <v>45113</v>
      </c>
      <c r="O841">
        <v>9413.5653999999995</v>
      </c>
      <c r="P841">
        <v>7807.5339999999997</v>
      </c>
      <c r="Q841">
        <v>4257.5937119999999</v>
      </c>
      <c r="R841">
        <v>6552.3009999999995</v>
      </c>
    </row>
    <row r="842" spans="1:18" x14ac:dyDescent="0.25">
      <c r="A842" t="str">
        <f>TEXT(Table1[[#This Row],[Date]],"YYYY"&amp;"- "&amp;"MM")</f>
        <v>2023- 05</v>
      </c>
      <c r="B842" s="11">
        <v>45063</v>
      </c>
      <c r="C842" s="10">
        <v>3765.2322933000014</v>
      </c>
      <c r="D842" s="10">
        <v>6369.5458999999992</v>
      </c>
      <c r="E842" s="7">
        <v>10361.989999999998</v>
      </c>
      <c r="F842">
        <v>8263.1560000000009</v>
      </c>
      <c r="G842" s="408"/>
      <c r="H842" s="122">
        <v>7837</v>
      </c>
      <c r="I842" s="122">
        <v>536</v>
      </c>
      <c r="L842">
        <v>3068.2809000000002</v>
      </c>
      <c r="N842" s="196">
        <v>45114</v>
      </c>
      <c r="O842">
        <v>9557.8596000000034</v>
      </c>
      <c r="P842">
        <v>7870.683</v>
      </c>
      <c r="Q842">
        <v>4203.0130688999989</v>
      </c>
      <c r="R842">
        <v>6628.7860000000001</v>
      </c>
    </row>
    <row r="843" spans="1:18" x14ac:dyDescent="0.25">
      <c r="A843" t="str">
        <f>TEXT(Table1[[#This Row],[Date]],"YYYY"&amp;"- "&amp;"MM")</f>
        <v>2023- 05</v>
      </c>
      <c r="B843" s="11">
        <v>45064</v>
      </c>
      <c r="C843" s="10">
        <v>3684.1935998000013</v>
      </c>
      <c r="D843" s="10">
        <v>6370.9488999999994</v>
      </c>
      <c r="E843" s="7">
        <v>10536.749500000002</v>
      </c>
      <c r="F843">
        <v>8277.3469999999998</v>
      </c>
      <c r="G843" s="408"/>
      <c r="H843" s="122">
        <v>7980</v>
      </c>
      <c r="I843" s="122">
        <v>490</v>
      </c>
      <c r="L843">
        <v>2968.5709000000002</v>
      </c>
      <c r="N843" s="196">
        <v>45117</v>
      </c>
      <c r="O843">
        <v>9296.2079999999987</v>
      </c>
      <c r="P843">
        <v>7774.8680000000004</v>
      </c>
      <c r="Q843">
        <v>4300.9528040000005</v>
      </c>
      <c r="R843">
        <v>6212.3218999999999</v>
      </c>
    </row>
    <row r="844" spans="1:18" x14ac:dyDescent="0.25">
      <c r="A844" t="str">
        <f>TEXT(Table1[[#This Row],[Date]],"YYYY"&amp;"- "&amp;"MM")</f>
        <v>2023- 05</v>
      </c>
      <c r="B844" s="11">
        <v>45065</v>
      </c>
      <c r="C844" s="10">
        <v>3661.703115400001</v>
      </c>
      <c r="D844" s="10">
        <v>6364.7808999999997</v>
      </c>
      <c r="E844" s="7">
        <v>10786.9085</v>
      </c>
      <c r="F844">
        <v>8101.4499999999989</v>
      </c>
      <c r="G844" s="408"/>
      <c r="H844" s="122">
        <v>8146</v>
      </c>
      <c r="I844" s="122">
        <v>559</v>
      </c>
      <c r="L844">
        <v>2879.7258999999999</v>
      </c>
      <c r="N844" s="196">
        <v>45118</v>
      </c>
      <c r="O844">
        <v>9412.108400000001</v>
      </c>
      <c r="P844">
        <v>7953.1220000000003</v>
      </c>
      <c r="Q844">
        <v>4397.7037980000005</v>
      </c>
      <c r="R844">
        <v>6306.2799000000005</v>
      </c>
    </row>
    <row r="845" spans="1:18" x14ac:dyDescent="0.25">
      <c r="A845" t="str">
        <f>TEXT(Table1[[#This Row],[Date]],"YYYY"&amp;"- "&amp;"MM")</f>
        <v>2023- 05</v>
      </c>
      <c r="B845" s="11">
        <v>45068</v>
      </c>
      <c r="C845" s="10">
        <v>3720.9744361000003</v>
      </c>
      <c r="D845" s="10">
        <v>6286.9960000000001</v>
      </c>
      <c r="E845" s="7">
        <v>10233.215400000001</v>
      </c>
      <c r="F845">
        <v>7661.9889999999996</v>
      </c>
      <c r="G845" s="408"/>
      <c r="H845" s="122">
        <v>8110</v>
      </c>
      <c r="I845" s="122">
        <v>521</v>
      </c>
      <c r="L845">
        <v>2617.0999000000002</v>
      </c>
      <c r="N845" s="196">
        <v>45119</v>
      </c>
      <c r="O845">
        <v>9661.4138999999996</v>
      </c>
      <c r="P845">
        <v>7969.8850000000002</v>
      </c>
      <c r="Q845">
        <v>4522.5832387999981</v>
      </c>
      <c r="R845">
        <v>6193.1949999999997</v>
      </c>
    </row>
    <row r="846" spans="1:18" x14ac:dyDescent="0.25">
      <c r="A846" t="str">
        <f>TEXT(Table1[[#This Row],[Date]],"YYYY"&amp;"- "&amp;"MM")</f>
        <v>2023- 05</v>
      </c>
      <c r="B846" s="11">
        <v>45069</v>
      </c>
      <c r="C846" s="10">
        <v>3698.6580483000012</v>
      </c>
      <c r="D846" s="10">
        <v>6635.3000999999995</v>
      </c>
      <c r="E846" s="7">
        <v>10226.328799999997</v>
      </c>
      <c r="F846">
        <v>7850.28</v>
      </c>
      <c r="G846" s="408"/>
      <c r="H846" s="122">
        <v>8384</v>
      </c>
      <c r="I846" s="122">
        <v>661</v>
      </c>
      <c r="L846">
        <v>2776.4139</v>
      </c>
      <c r="N846" s="196">
        <v>45120</v>
      </c>
      <c r="O846">
        <v>9678.5208999999977</v>
      </c>
      <c r="P846">
        <v>7650.8305</v>
      </c>
      <c r="Q846">
        <v>4340.7838120000006</v>
      </c>
      <c r="R846">
        <v>6275.4968999999992</v>
      </c>
    </row>
    <row r="847" spans="1:18" x14ac:dyDescent="0.25">
      <c r="A847" t="str">
        <f>TEXT(Table1[[#This Row],[Date]],"YYYY"&amp;"- "&amp;"MM")</f>
        <v>2023- 05</v>
      </c>
      <c r="B847" s="11">
        <v>45070</v>
      </c>
      <c r="C847" s="10">
        <v>3846.7272338000012</v>
      </c>
      <c r="D847" s="10">
        <v>6804.6451000000006</v>
      </c>
      <c r="E847" s="7">
        <v>10390.059199999996</v>
      </c>
      <c r="F847">
        <v>7831.2709999999997</v>
      </c>
      <c r="G847" s="408"/>
      <c r="H847" s="122">
        <v>8143</v>
      </c>
      <c r="I847" s="122">
        <v>747</v>
      </c>
      <c r="L847">
        <v>2921.5319</v>
      </c>
      <c r="N847" s="196">
        <v>45121</v>
      </c>
      <c r="O847">
        <v>9547.1323999999986</v>
      </c>
      <c r="P847">
        <v>7673.4475000000002</v>
      </c>
      <c r="Q847">
        <v>4399.0575440000002</v>
      </c>
      <c r="R847">
        <v>6377.6389000000008</v>
      </c>
    </row>
    <row r="848" spans="1:18" x14ac:dyDescent="0.25">
      <c r="A848" t="str">
        <f>TEXT(Table1[[#This Row],[Date]],"YYYY"&amp;"- "&amp;"MM")</f>
        <v>2023- 05</v>
      </c>
      <c r="B848" s="11">
        <v>45071</v>
      </c>
      <c r="C848" s="10">
        <v>3693.9073529999996</v>
      </c>
      <c r="D848" s="10">
        <v>6952.4061000000011</v>
      </c>
      <c r="E848" s="7">
        <v>10342.199500000002</v>
      </c>
      <c r="F848">
        <v>7606.5640000000003</v>
      </c>
      <c r="G848" s="408"/>
      <c r="H848" s="122">
        <v>7781</v>
      </c>
      <c r="I848" s="122">
        <v>711</v>
      </c>
      <c r="L848">
        <v>2959.8319000000001</v>
      </c>
      <c r="N848" s="196">
        <v>45124</v>
      </c>
      <c r="O848">
        <v>9339.1203999999998</v>
      </c>
      <c r="P848">
        <v>7513.1944999999996</v>
      </c>
      <c r="Q848">
        <v>4515.154005100002</v>
      </c>
      <c r="R848">
        <v>6018.3329000000012</v>
      </c>
    </row>
    <row r="849" spans="1:18" x14ac:dyDescent="0.25">
      <c r="A849" t="str">
        <f>TEXT(Table1[[#This Row],[Date]],"YYYY"&amp;"- "&amp;"MM")</f>
        <v>2023- 05</v>
      </c>
      <c r="B849" s="11">
        <v>45072</v>
      </c>
      <c r="C849" s="10">
        <v>3719.7162134</v>
      </c>
      <c r="D849" s="10">
        <v>7058.4020999999993</v>
      </c>
      <c r="E849" s="7">
        <v>10362.195799999998</v>
      </c>
      <c r="F849">
        <v>7328.4605000000001</v>
      </c>
      <c r="G849" s="408"/>
      <c r="H849" s="122">
        <v>7914</v>
      </c>
      <c r="I849" s="122">
        <v>676</v>
      </c>
      <c r="L849">
        <v>2962.9868999999999</v>
      </c>
      <c r="N849" s="196">
        <v>45128</v>
      </c>
      <c r="O849">
        <v>8773.6718999999994</v>
      </c>
      <c r="P849">
        <v>7676.0394999999999</v>
      </c>
      <c r="Q849">
        <v>4837.7183473000014</v>
      </c>
      <c r="R849">
        <v>6155.6408999999994</v>
      </c>
    </row>
    <row r="850" spans="1:18" x14ac:dyDescent="0.25">
      <c r="A850" t="str">
        <f>TEXT(Table1[[#This Row],[Date]],"YYYY"&amp;"- "&amp;"MM")</f>
        <v>2023- 05</v>
      </c>
      <c r="B850" s="11">
        <v>45075</v>
      </c>
      <c r="C850" s="10">
        <v>3884.3313253000006</v>
      </c>
      <c r="D850" s="10">
        <v>6951.8199000000004</v>
      </c>
      <c r="E850" s="7">
        <v>9900.7883000000002</v>
      </c>
      <c r="F850">
        <v>7104.0195000000003</v>
      </c>
      <c r="G850" s="408"/>
      <c r="H850" s="122">
        <v>7707</v>
      </c>
      <c r="I850" s="122">
        <v>657</v>
      </c>
      <c r="L850">
        <v>2740.5230000000001</v>
      </c>
      <c r="N850" s="196" t="s">
        <v>74</v>
      </c>
      <c r="O850">
        <v>2898199.7685499964</v>
      </c>
      <c r="P850">
        <v>1977655.2454999995</v>
      </c>
      <c r="Q850">
        <v>1181816.4330293997</v>
      </c>
      <c r="R850">
        <v>1944446.617300001</v>
      </c>
    </row>
    <row r="851" spans="1:18" x14ac:dyDescent="0.25">
      <c r="A851" t="str">
        <f>TEXT(Table1[[#This Row],[Date]],"YYYY"&amp;"- "&amp;"MM")</f>
        <v>2023- 05</v>
      </c>
      <c r="B851" s="11">
        <v>45076</v>
      </c>
      <c r="C851" s="10">
        <v>3888.8244915000005</v>
      </c>
      <c r="D851" s="10">
        <v>7068.6099000000004</v>
      </c>
      <c r="E851" s="7">
        <v>10015.081499999997</v>
      </c>
      <c r="F851">
        <v>7212.4035000000003</v>
      </c>
      <c r="G851" s="408"/>
      <c r="H851" s="122">
        <v>7707</v>
      </c>
      <c r="I851" s="122">
        <v>679</v>
      </c>
      <c r="L851">
        <v>2785.4160000000002</v>
      </c>
    </row>
    <row r="852" spans="1:18" x14ac:dyDescent="0.25">
      <c r="A852" t="str">
        <f>TEXT(Table1[[#This Row],[Date]],"YYYY"&amp;"- "&amp;"MM")</f>
        <v>2023- 05</v>
      </c>
      <c r="B852" s="11">
        <v>45077</v>
      </c>
      <c r="C852" s="10">
        <v>3997.9878750000003</v>
      </c>
      <c r="D852" s="10">
        <v>6978.1608999999999</v>
      </c>
      <c r="E852" s="7">
        <v>10235.396499999999</v>
      </c>
      <c r="F852">
        <v>7239.8355000000001</v>
      </c>
      <c r="G852" s="408"/>
      <c r="H852" s="122">
        <v>7221</v>
      </c>
      <c r="I852" s="122">
        <v>684</v>
      </c>
      <c r="L852">
        <v>2851.6640000000002</v>
      </c>
    </row>
    <row r="853" spans="1:18" x14ac:dyDescent="0.25">
      <c r="A853" t="str">
        <f>TEXT(Table1[[#This Row],[Date]],"YYYY"&amp;"- "&amp;"MM")</f>
        <v>2023- 06</v>
      </c>
      <c r="B853" s="11">
        <v>45078</v>
      </c>
      <c r="C853" s="10">
        <v>3895.5321749999998</v>
      </c>
      <c r="D853" s="10">
        <v>6850.9069</v>
      </c>
      <c r="E853" s="7">
        <v>10109.493999999999</v>
      </c>
      <c r="F853">
        <v>7025.5315000000001</v>
      </c>
      <c r="G853" s="408"/>
      <c r="H853" s="122">
        <v>7532</v>
      </c>
      <c r="I853" s="122">
        <v>668</v>
      </c>
      <c r="L853">
        <v>2869.7469000000001</v>
      </c>
    </row>
    <row r="854" spans="1:18" x14ac:dyDescent="0.25">
      <c r="A854" t="str">
        <f>TEXT(Table1[[#This Row],[Date]],"YYYY"&amp;"- "&amp;"MM")</f>
        <v>2023- 06</v>
      </c>
      <c r="B854" s="11">
        <v>45079</v>
      </c>
      <c r="C854" s="10">
        <v>3975.5734749999992</v>
      </c>
      <c r="D854" s="10">
        <v>6819.4758999999995</v>
      </c>
      <c r="E854" s="7">
        <v>10203.001200000001</v>
      </c>
      <c r="F854">
        <v>6943.7494999999999</v>
      </c>
      <c r="G854" s="408"/>
      <c r="H854" s="122">
        <v>7615</v>
      </c>
      <c r="I854" s="122">
        <v>626</v>
      </c>
      <c r="L854">
        <v>2765.8119000000002</v>
      </c>
    </row>
    <row r="855" spans="1:18" x14ac:dyDescent="0.25">
      <c r="A855" t="str">
        <f>TEXT(Table1[[#This Row],[Date]],"YYYY"&amp;"- "&amp;"MM")</f>
        <v>2023- 06</v>
      </c>
      <c r="B855" s="11">
        <v>45082</v>
      </c>
      <c r="C855" s="10">
        <v>3975.5734749999992</v>
      </c>
      <c r="D855" s="10">
        <v>6819.4758999999995</v>
      </c>
      <c r="E855" s="7">
        <v>10203.001200000001</v>
      </c>
      <c r="F855">
        <v>6943.7494999999999</v>
      </c>
      <c r="G855" s="408"/>
      <c r="H855" s="122">
        <v>7847</v>
      </c>
      <c r="I855" s="122">
        <v>552</v>
      </c>
      <c r="L855">
        <v>2765.8119000000002</v>
      </c>
    </row>
    <row r="856" spans="1:18" x14ac:dyDescent="0.25">
      <c r="A856" t="str">
        <f>TEXT(Table1[[#This Row],[Date]],"YYYY"&amp;"- "&amp;"MM")</f>
        <v>2023- 06</v>
      </c>
      <c r="B856" s="11">
        <v>45083</v>
      </c>
      <c r="C856" s="10">
        <v>3994.4202749999999</v>
      </c>
      <c r="D856" s="10">
        <v>6680.1239999999998</v>
      </c>
      <c r="E856" s="7">
        <v>10072.040099999998</v>
      </c>
      <c r="F856">
        <v>6906.7134999999998</v>
      </c>
      <c r="G856" s="408"/>
      <c r="H856" s="122">
        <v>8003</v>
      </c>
      <c r="I856" s="122">
        <v>522</v>
      </c>
      <c r="L856">
        <v>2458.1379999999999</v>
      </c>
    </row>
    <row r="857" spans="1:18" x14ac:dyDescent="0.25">
      <c r="A857" t="str">
        <f>TEXT(Table1[[#This Row],[Date]],"YYYY"&amp;"- "&amp;"MM")</f>
        <v>2023- 06</v>
      </c>
      <c r="B857" s="11">
        <v>45084</v>
      </c>
      <c r="C857" s="10">
        <v>4096.6214668999992</v>
      </c>
      <c r="D857" s="10">
        <v>6797.3128999999999</v>
      </c>
      <c r="E857" s="7">
        <v>10541.817899999998</v>
      </c>
      <c r="F857">
        <v>7281.8315000000002</v>
      </c>
      <c r="G857" s="408"/>
      <c r="H857" s="122">
        <v>8147</v>
      </c>
      <c r="I857" s="122">
        <v>472</v>
      </c>
      <c r="L857">
        <v>2645.105</v>
      </c>
    </row>
    <row r="858" spans="1:18" x14ac:dyDescent="0.25">
      <c r="A858" t="str">
        <f>TEXT(Table1[[#This Row],[Date]],"YYYY"&amp;"- "&amp;"MM")</f>
        <v>2023- 06</v>
      </c>
      <c r="B858" s="11">
        <v>45085</v>
      </c>
      <c r="C858" s="10">
        <v>3937.8281250000005</v>
      </c>
      <c r="D858" s="10">
        <v>6878.9378999999999</v>
      </c>
      <c r="E858" s="7">
        <v>10640.995499999999</v>
      </c>
      <c r="F858">
        <v>7465.3114999999998</v>
      </c>
      <c r="G858" s="408"/>
      <c r="H858" s="122">
        <v>8254</v>
      </c>
      <c r="I858" s="122">
        <v>470</v>
      </c>
      <c r="L858">
        <v>2705.5030000000002</v>
      </c>
    </row>
    <row r="859" spans="1:18" x14ac:dyDescent="0.25">
      <c r="A859" t="str">
        <f>TEXT(Table1[[#This Row],[Date]],"YYYY"&amp;"- "&amp;"MM")</f>
        <v>2023- 06</v>
      </c>
      <c r="B859" s="11">
        <v>45086</v>
      </c>
      <c r="C859" s="10">
        <v>4084.944625000001</v>
      </c>
      <c r="D859" s="10">
        <v>7064.4098999999997</v>
      </c>
      <c r="E859" s="7">
        <v>11256.960700000003</v>
      </c>
      <c r="F859">
        <v>7602.0609999999997</v>
      </c>
      <c r="G859" s="408"/>
      <c r="H859" s="122">
        <v>8587</v>
      </c>
      <c r="I859" s="122">
        <v>420</v>
      </c>
      <c r="L859">
        <v>2779.9589999999998</v>
      </c>
    </row>
    <row r="860" spans="1:18" x14ac:dyDescent="0.25">
      <c r="A860" t="str">
        <f>TEXT(Table1[[#This Row],[Date]],"YYYY"&amp;"- "&amp;"MM")</f>
        <v>2023- 06</v>
      </c>
      <c r="B860" s="11">
        <v>45089</v>
      </c>
      <c r="C860" s="10">
        <v>4163.0326249999998</v>
      </c>
      <c r="D860" s="10">
        <v>6877.2708999999995</v>
      </c>
      <c r="E860" s="7">
        <v>10641.846600000004</v>
      </c>
      <c r="F860">
        <v>7217.5259999999998</v>
      </c>
      <c r="G860" s="408"/>
      <c r="H860" s="122">
        <v>9127</v>
      </c>
      <c r="I860" s="122">
        <v>287</v>
      </c>
      <c r="L860">
        <v>2551.5929999999998</v>
      </c>
    </row>
    <row r="861" spans="1:18" x14ac:dyDescent="0.25">
      <c r="A861" t="str">
        <f>TEXT(Table1[[#This Row],[Date]],"YYYY"&amp;"- "&amp;"MM")</f>
        <v>2023- 06</v>
      </c>
      <c r="B861" s="11">
        <v>45091</v>
      </c>
      <c r="C861" s="10">
        <v>4341.8032690000009</v>
      </c>
      <c r="D861" s="10">
        <v>7199.5879999999997</v>
      </c>
      <c r="E861" s="7">
        <v>10559.5926</v>
      </c>
      <c r="F861">
        <v>7705.4040000000005</v>
      </c>
      <c r="G861" s="408"/>
      <c r="H861" s="122">
        <v>9173</v>
      </c>
      <c r="I861" s="122">
        <v>249</v>
      </c>
      <c r="L861">
        <v>2744.2599</v>
      </c>
    </row>
    <row r="862" spans="1:18" x14ac:dyDescent="0.25">
      <c r="A862" t="str">
        <f>TEXT(Table1[[#This Row],[Date]],"YYYY"&amp;"- "&amp;"MM")</f>
        <v>2023- 06</v>
      </c>
      <c r="B862" s="11">
        <v>45092</v>
      </c>
      <c r="C862" s="10">
        <v>4184.0102690000003</v>
      </c>
      <c r="D862" s="10">
        <v>7227.1890000000003</v>
      </c>
      <c r="E862" s="7">
        <v>10356.783899999999</v>
      </c>
      <c r="F862">
        <v>7854.9</v>
      </c>
      <c r="G862" s="408"/>
      <c r="H862" s="122">
        <v>9199</v>
      </c>
      <c r="I862" s="122">
        <v>273</v>
      </c>
      <c r="L862">
        <v>2819.6359000000002</v>
      </c>
    </row>
    <row r="863" spans="1:18" x14ac:dyDescent="0.25">
      <c r="A863" t="str">
        <f>TEXT(Table1[[#This Row],[Date]],"YYYY"&amp;"- "&amp;"MM")</f>
        <v>2023- 06</v>
      </c>
      <c r="B863" s="11">
        <v>45093</v>
      </c>
      <c r="C863" s="10">
        <v>4345.821418999999</v>
      </c>
      <c r="D863" s="10">
        <v>7265.634</v>
      </c>
      <c r="E863" s="7">
        <v>10376.0442</v>
      </c>
      <c r="F863">
        <v>7618.5259999999998</v>
      </c>
      <c r="G863" s="408"/>
      <c r="H863" s="122">
        <v>9133</v>
      </c>
      <c r="I863" s="122">
        <v>264</v>
      </c>
      <c r="L863">
        <v>2748.9339</v>
      </c>
    </row>
    <row r="864" spans="1:18" x14ac:dyDescent="0.25">
      <c r="A864" t="str">
        <f>TEXT(Table1[[#This Row],[Date]],"YYYY"&amp;"- "&amp;"MM")</f>
        <v>2023- 06</v>
      </c>
      <c r="B864" s="11">
        <v>45096</v>
      </c>
      <c r="C864" s="10">
        <v>4446.2487190000002</v>
      </c>
      <c r="D864" s="10">
        <v>7170.424</v>
      </c>
      <c r="E864" s="7">
        <v>9625.7346999999991</v>
      </c>
      <c r="F864">
        <v>7385.82</v>
      </c>
      <c r="G864" s="408"/>
      <c r="H864" s="122">
        <v>9252</v>
      </c>
      <c r="I864" s="122">
        <v>253</v>
      </c>
      <c r="L864">
        <v>2853.2039</v>
      </c>
    </row>
    <row r="865" spans="1:12" x14ac:dyDescent="0.25">
      <c r="A865" t="str">
        <f>TEXT(Table1[[#This Row],[Date]],"YYYY"&amp;"- "&amp;"MM")</f>
        <v>2023- 06</v>
      </c>
      <c r="B865" s="11">
        <v>45097</v>
      </c>
      <c r="C865" s="10">
        <v>4383.7953324999999</v>
      </c>
      <c r="D865" s="10">
        <v>7295.2959999999994</v>
      </c>
      <c r="E865" s="7">
        <v>9845.1732999999986</v>
      </c>
      <c r="F865">
        <v>7642.8950000000004</v>
      </c>
      <c r="G865" s="408"/>
      <c r="H865" s="122">
        <v>9370</v>
      </c>
      <c r="I865" s="122">
        <v>545</v>
      </c>
      <c r="L865">
        <v>2872.5320000000002</v>
      </c>
    </row>
    <row r="866" spans="1:12" x14ac:dyDescent="0.25">
      <c r="A866" t="str">
        <f>TEXT(Table1[[#This Row],[Date]],"YYYY"&amp;"- "&amp;"MM")</f>
        <v>2023- 06</v>
      </c>
      <c r="B866" s="11">
        <v>45098</v>
      </c>
      <c r="C866" s="10">
        <v>4267.6793833999991</v>
      </c>
      <c r="D866" s="10">
        <v>7336.6338999999998</v>
      </c>
      <c r="E866" s="7">
        <v>10089.220799999996</v>
      </c>
      <c r="F866">
        <v>7662.25</v>
      </c>
      <c r="G866" s="408"/>
      <c r="H866" s="122">
        <v>9132</v>
      </c>
      <c r="I866" s="122">
        <v>473</v>
      </c>
      <c r="L866">
        <v>2735.0909999999999</v>
      </c>
    </row>
    <row r="867" spans="1:12" x14ac:dyDescent="0.25">
      <c r="A867" t="str">
        <f>TEXT(Table1[[#This Row],[Date]],"YYYY"&amp;"- "&amp;"MM")</f>
        <v>2023- 06</v>
      </c>
      <c r="B867" s="11">
        <v>45099</v>
      </c>
      <c r="C867" s="10">
        <v>4117.4874200000004</v>
      </c>
      <c r="D867" s="10">
        <v>7324.9549999999999</v>
      </c>
      <c r="E867" s="7">
        <v>10152.1718</v>
      </c>
      <c r="F867">
        <v>7529.326</v>
      </c>
      <c r="G867" s="408"/>
      <c r="H867" s="122">
        <v>9004</v>
      </c>
      <c r="I867" s="122">
        <v>421</v>
      </c>
      <c r="L867">
        <v>2547.105</v>
      </c>
    </row>
    <row r="868" spans="1:12" x14ac:dyDescent="0.25">
      <c r="A868" t="str">
        <f>TEXT(Table1[[#This Row],[Date]],"YYYY"&amp;"- "&amp;"MM")</f>
        <v>2023- 06</v>
      </c>
      <c r="B868" s="11">
        <v>45100</v>
      </c>
      <c r="C868" s="10">
        <v>4235.566108</v>
      </c>
      <c r="D868" s="10">
        <v>7203.1260000000002</v>
      </c>
      <c r="E868" s="7">
        <v>10571.250100000003</v>
      </c>
      <c r="F868">
        <v>7717.25</v>
      </c>
      <c r="G868" s="408"/>
      <c r="H868" s="122">
        <v>8791</v>
      </c>
      <c r="I868" s="122">
        <v>348</v>
      </c>
      <c r="L868">
        <v>2527.2669999999998</v>
      </c>
    </row>
    <row r="869" spans="1:12" x14ac:dyDescent="0.25">
      <c r="A869" t="str">
        <f>TEXT(Table1[[#This Row],[Date]],"YYYY"&amp;"- "&amp;"MM")</f>
        <v>2023- 06</v>
      </c>
      <c r="B869" s="11">
        <v>45103</v>
      </c>
      <c r="C869" s="10">
        <v>4213.4237207999995</v>
      </c>
      <c r="D869" s="10">
        <v>6563.09</v>
      </c>
      <c r="E869" s="7">
        <v>10202.344400000004</v>
      </c>
      <c r="F869">
        <v>7202.3225000000002</v>
      </c>
      <c r="G869" s="408"/>
      <c r="H869" s="122">
        <v>8837</v>
      </c>
      <c r="I869" s="122">
        <v>316</v>
      </c>
      <c r="L869">
        <v>2580.5119</v>
      </c>
    </row>
    <row r="870" spans="1:12" x14ac:dyDescent="0.25">
      <c r="A870" t="str">
        <f>TEXT(Table1[[#This Row],[Date]],"YYYY"&amp;"- "&amp;"MM")</f>
        <v>2023- 06</v>
      </c>
      <c r="B870" s="11">
        <v>45104</v>
      </c>
      <c r="C870" s="10">
        <v>4249.0075051999993</v>
      </c>
      <c r="D870" s="10">
        <v>6539.0549999999985</v>
      </c>
      <c r="E870" s="7">
        <v>9550.8622000000014</v>
      </c>
      <c r="F870">
        <v>7208.8630000000003</v>
      </c>
      <c r="G870" s="408"/>
      <c r="H870" s="122">
        <v>9086</v>
      </c>
      <c r="I870" s="122">
        <v>267</v>
      </c>
      <c r="L870">
        <v>2667.431</v>
      </c>
    </row>
    <row r="871" spans="1:12" x14ac:dyDescent="0.25">
      <c r="A871" t="str">
        <f>TEXT(Table1[[#This Row],[Date]],"YYYY"&amp;"- "&amp;"MM")</f>
        <v>2023- 06</v>
      </c>
      <c r="B871" s="11">
        <v>45105</v>
      </c>
      <c r="C871" s="10">
        <v>4195.8921829999999</v>
      </c>
      <c r="D871" s="10">
        <v>6675.7279999999992</v>
      </c>
      <c r="E871" s="7">
        <v>9809.8439999999991</v>
      </c>
      <c r="F871">
        <v>7261.2380000000003</v>
      </c>
      <c r="G871" s="408"/>
      <c r="H871" s="122">
        <v>9071</v>
      </c>
      <c r="I871" s="122">
        <v>187</v>
      </c>
      <c r="L871">
        <v>2656.837</v>
      </c>
    </row>
    <row r="872" spans="1:12" x14ac:dyDescent="0.25">
      <c r="A872" t="str">
        <f>TEXT(Table1[[#This Row],[Date]],"YYYY"&amp;"- "&amp;"MM")</f>
        <v>2023- 06</v>
      </c>
      <c r="B872" s="11">
        <v>45106</v>
      </c>
      <c r="C872" s="10">
        <v>4248.9999853000008</v>
      </c>
      <c r="D872" s="10">
        <v>6821.4139999999998</v>
      </c>
      <c r="E872" s="7">
        <v>9575.1305000000029</v>
      </c>
      <c r="F872">
        <v>7739.0360000000001</v>
      </c>
      <c r="G872" s="408"/>
      <c r="H872" s="122">
        <v>8671</v>
      </c>
      <c r="I872" s="122">
        <v>163</v>
      </c>
      <c r="L872">
        <v>2587.721</v>
      </c>
    </row>
    <row r="873" spans="1:12" x14ac:dyDescent="0.25">
      <c r="A873" t="str">
        <f>TEXT(Table1[[#This Row],[Date]],"YYYY"&amp;"- "&amp;"MM")</f>
        <v>2023- 06</v>
      </c>
      <c r="B873" s="11">
        <v>45107</v>
      </c>
      <c r="C873" s="10">
        <v>4307.2507859999996</v>
      </c>
      <c r="D873" s="10">
        <v>6940.8360000000002</v>
      </c>
      <c r="E873" s="7">
        <v>9664.0006999999987</v>
      </c>
      <c r="F873">
        <v>7771.9409999999998</v>
      </c>
      <c r="G873" s="408"/>
      <c r="H873" s="122">
        <v>8380</v>
      </c>
      <c r="I873" s="122">
        <v>163</v>
      </c>
      <c r="L873">
        <v>2643.3139999999999</v>
      </c>
    </row>
    <row r="874" spans="1:12" x14ac:dyDescent="0.25">
      <c r="A874" t="str">
        <f>TEXT(Table1[[#This Row],[Date]],"YYYY"&amp;"- "&amp;"MM")</f>
        <v>2023- 07</v>
      </c>
      <c r="B874" s="11">
        <v>45111</v>
      </c>
      <c r="C874" s="10">
        <v>4354.7991860000011</v>
      </c>
      <c r="D874" s="10">
        <v>6386.4809999999998</v>
      </c>
      <c r="E874" s="7">
        <v>9206.8131999999987</v>
      </c>
      <c r="F874">
        <v>7522.0910000000003</v>
      </c>
      <c r="G874" s="408"/>
      <c r="H874" s="122">
        <v>9277</v>
      </c>
      <c r="I874" s="122">
        <v>212</v>
      </c>
      <c r="L874">
        <v>2525.6790000000001</v>
      </c>
    </row>
    <row r="875" spans="1:12" x14ac:dyDescent="0.25">
      <c r="A875" t="str">
        <f>TEXT(Table1[[#This Row],[Date]],"YYYY"&amp;"- "&amp;"MM")</f>
        <v>2023- 07</v>
      </c>
      <c r="B875" s="11">
        <v>45112</v>
      </c>
      <c r="C875" s="10">
        <v>4328.3594119999998</v>
      </c>
      <c r="D875" s="10">
        <v>6605.2569999999996</v>
      </c>
      <c r="E875" s="7">
        <v>9347.7569000000021</v>
      </c>
      <c r="F875">
        <v>7747.2439999999997</v>
      </c>
      <c r="G875" s="408"/>
      <c r="H875" s="122">
        <v>9382</v>
      </c>
      <c r="I875" s="122">
        <v>332</v>
      </c>
      <c r="L875">
        <v>2695.7310000000002</v>
      </c>
    </row>
    <row r="876" spans="1:12" x14ac:dyDescent="0.25">
      <c r="A876" t="str">
        <f>TEXT(Table1[[#This Row],[Date]],"YYYY"&amp;"- "&amp;"MM")</f>
        <v>2023- 07</v>
      </c>
      <c r="B876" s="11">
        <v>45113</v>
      </c>
      <c r="C876" s="10">
        <v>4257.5937119999999</v>
      </c>
      <c r="D876" s="10">
        <v>6552.3009999999995</v>
      </c>
      <c r="E876" s="7">
        <v>9413.5653999999995</v>
      </c>
      <c r="F876">
        <v>7807.5339999999997</v>
      </c>
      <c r="G876" s="408"/>
      <c r="H876" s="122">
        <v>9192</v>
      </c>
      <c r="I876" s="122">
        <v>347</v>
      </c>
      <c r="L876">
        <v>2801.5450000000001</v>
      </c>
    </row>
    <row r="877" spans="1:12" x14ac:dyDescent="0.25">
      <c r="A877" t="str">
        <f>TEXT(Table1[[#This Row],[Date]],"YYYY"&amp;"- "&amp;"MM")</f>
        <v>2023- 07</v>
      </c>
      <c r="B877" s="11">
        <v>45114</v>
      </c>
      <c r="C877" s="10">
        <v>4203.0130688999989</v>
      </c>
      <c r="D877" s="10">
        <v>6628.7860000000001</v>
      </c>
      <c r="E877" s="7">
        <v>9557.8596000000034</v>
      </c>
      <c r="F877">
        <v>7870.683</v>
      </c>
      <c r="G877" s="408"/>
      <c r="H877" s="122">
        <v>9404</v>
      </c>
      <c r="I877" s="122">
        <v>328</v>
      </c>
      <c r="L877">
        <v>2856.8679000000002</v>
      </c>
    </row>
    <row r="878" spans="1:12" x14ac:dyDescent="0.25">
      <c r="A878" t="str">
        <f>TEXT(Table1[[#This Row],[Date]],"YYYY"&amp;"- "&amp;"MM")</f>
        <v>2023- 07</v>
      </c>
      <c r="B878" s="11">
        <v>45117</v>
      </c>
      <c r="C878" s="10">
        <v>4300.9528040000005</v>
      </c>
      <c r="D878" s="10">
        <v>6212.3218999999999</v>
      </c>
      <c r="E878" s="7">
        <v>9296.2079999999987</v>
      </c>
      <c r="F878">
        <v>7774.8680000000004</v>
      </c>
      <c r="G878" s="408"/>
      <c r="H878" s="122">
        <v>9583</v>
      </c>
      <c r="I878" s="122">
        <v>314</v>
      </c>
      <c r="L878">
        <v>2853.15</v>
      </c>
    </row>
    <row r="879" spans="1:12" x14ac:dyDescent="0.25">
      <c r="A879" t="str">
        <f>TEXT(Table1[[#This Row],[Date]],"YYYY"&amp;"- "&amp;"MM")</f>
        <v>2023- 07</v>
      </c>
      <c r="B879" s="11">
        <v>45118</v>
      </c>
      <c r="C879" s="10">
        <v>4397.7037980000005</v>
      </c>
      <c r="D879" s="10">
        <v>6306.2799000000005</v>
      </c>
      <c r="E879" s="7">
        <v>9412.108400000001</v>
      </c>
      <c r="F879">
        <v>7953.1220000000003</v>
      </c>
      <c r="G879" s="408"/>
      <c r="H879" s="122">
        <v>9558</v>
      </c>
      <c r="I879" s="122">
        <v>414</v>
      </c>
      <c r="L879">
        <v>3046.7</v>
      </c>
    </row>
    <row r="880" spans="1:12" x14ac:dyDescent="0.25">
      <c r="A880" t="str">
        <f>TEXT(Table1[[#This Row],[Date]],"YYYY"&amp;"- "&amp;"MM")</f>
        <v>2023- 07</v>
      </c>
      <c r="B880" s="11">
        <v>45119</v>
      </c>
      <c r="C880" s="10">
        <v>4522.5832387999981</v>
      </c>
      <c r="D880" s="10">
        <v>6193.1949999999997</v>
      </c>
      <c r="E880" s="7">
        <v>9661.4138999999996</v>
      </c>
      <c r="F880">
        <v>7969.8850000000002</v>
      </c>
      <c r="G880" s="408"/>
      <c r="H880" s="122">
        <v>9427</v>
      </c>
      <c r="I880" s="122">
        <v>550</v>
      </c>
      <c r="L880">
        <v>3101.2460000000001</v>
      </c>
    </row>
    <row r="881" spans="1:12" x14ac:dyDescent="0.25">
      <c r="A881" t="str">
        <f>TEXT(Table1[[#This Row],[Date]],"YYYY"&amp;"- "&amp;"MM")</f>
        <v>2023- 07</v>
      </c>
      <c r="B881" s="11">
        <v>45120</v>
      </c>
      <c r="C881" s="10">
        <v>4340.7838120000006</v>
      </c>
      <c r="D881" s="10">
        <v>6275.4968999999992</v>
      </c>
      <c r="E881" s="7">
        <v>9678.5208999999977</v>
      </c>
      <c r="F881">
        <v>7650.8305</v>
      </c>
      <c r="G881" s="408"/>
      <c r="H881" s="122">
        <v>9271</v>
      </c>
      <c r="I881" s="122">
        <v>598</v>
      </c>
      <c r="L881">
        <v>3007.6680000000001</v>
      </c>
    </row>
    <row r="882" spans="1:12" x14ac:dyDescent="0.25">
      <c r="A882" t="str">
        <f>TEXT(Table1[[#This Row],[Date]],"YYYY"&amp;"- "&amp;"MM")</f>
        <v>2023- 07</v>
      </c>
      <c r="B882" s="11">
        <v>45121</v>
      </c>
      <c r="C882" s="10">
        <v>4399.0575440000002</v>
      </c>
      <c r="D882" s="10">
        <v>6377.6389000000008</v>
      </c>
      <c r="E882" s="7">
        <v>9547.1323999999986</v>
      </c>
      <c r="F882">
        <v>7673.4475000000002</v>
      </c>
      <c r="G882" s="408"/>
      <c r="H882" s="122">
        <v>9368</v>
      </c>
      <c r="I882" s="122">
        <v>618</v>
      </c>
      <c r="L882">
        <v>2870.1779999999999</v>
      </c>
    </row>
    <row r="883" spans="1:12" x14ac:dyDescent="0.25">
      <c r="A883" t="str">
        <f>TEXT(Table1[[#This Row],[Date]],"YYYY"&amp;"- "&amp;"MM")</f>
        <v>2023- 07</v>
      </c>
      <c r="B883" s="11">
        <v>45124</v>
      </c>
      <c r="C883" s="10">
        <v>4515.154005100002</v>
      </c>
      <c r="D883" s="10">
        <v>6018.3329000000012</v>
      </c>
      <c r="E883" s="7">
        <v>9339.1203999999998</v>
      </c>
      <c r="F883">
        <v>7513.1944999999996</v>
      </c>
      <c r="G883" s="99"/>
      <c r="H883">
        <v>9454</v>
      </c>
      <c r="I883">
        <v>725</v>
      </c>
      <c r="L883">
        <v>2877.7049999999999</v>
      </c>
    </row>
    <row r="884" spans="1:12" x14ac:dyDescent="0.25">
      <c r="A884" t="str">
        <f>TEXT(Table1[[#This Row],[Date]],"YYYY"&amp;"- "&amp;"MM")</f>
        <v>2023- 07</v>
      </c>
      <c r="B884" s="11">
        <v>45128</v>
      </c>
      <c r="C884" s="10">
        <v>4837.7183473000014</v>
      </c>
      <c r="D884" s="10">
        <v>6155.6408999999994</v>
      </c>
      <c r="E884" s="7">
        <v>8773.6718999999994</v>
      </c>
      <c r="F884">
        <v>7676.0394999999999</v>
      </c>
      <c r="G884" s="408"/>
      <c r="H884">
        <v>9169</v>
      </c>
      <c r="I884">
        <v>861</v>
      </c>
      <c r="L884">
        <v>3114.8409999999999</v>
      </c>
    </row>
    <row r="885" spans="1:12" x14ac:dyDescent="0.25">
      <c r="A885" t="str">
        <f>TEXT(Table1[[#This Row],[Date]],"YYYY"&amp;"- "&amp;"MM")</f>
        <v>1900- 01</v>
      </c>
      <c r="B885" s="11"/>
      <c r="C885" s="10"/>
      <c r="D885" s="10"/>
      <c r="E885" s="7"/>
      <c r="G885" s="408"/>
    </row>
    <row r="886" spans="1:12" x14ac:dyDescent="0.25">
      <c r="A886" t="str">
        <f>TEXT(Table1[[#This Row],[Date]],"YYYY"&amp;"- "&amp;"MM")</f>
        <v>1900- 01</v>
      </c>
      <c r="B886" s="11"/>
      <c r="C886" s="10"/>
      <c r="D886" s="10"/>
      <c r="E886" s="7"/>
      <c r="G886" s="408"/>
    </row>
    <row r="887" spans="1:12" x14ac:dyDescent="0.25">
      <c r="A887" t="str">
        <f>TEXT(Table1[[#This Row],[Date]],"YYYY"&amp;"- "&amp;"MM")</f>
        <v>1900- 01</v>
      </c>
      <c r="B887" s="11"/>
      <c r="C887" s="10"/>
      <c r="D887" s="10"/>
      <c r="E887" s="7"/>
      <c r="G887" s="408"/>
    </row>
    <row r="888" spans="1:12" x14ac:dyDescent="0.25">
      <c r="A888" t="str">
        <f>TEXT(Table1[[#This Row],[Date]],"YYYY"&amp;"- "&amp;"MM")</f>
        <v>1900- 01</v>
      </c>
      <c r="B888" s="11"/>
      <c r="C888" s="10"/>
      <c r="D888" s="10"/>
      <c r="E888" s="7"/>
      <c r="G888" s="408"/>
    </row>
    <row r="889" spans="1:12" x14ac:dyDescent="0.25">
      <c r="A889" t="str">
        <f>TEXT(Table1[[#This Row],[Date]],"YYYY"&amp;"- "&amp;"MM")</f>
        <v>1900- 01</v>
      </c>
      <c r="B889" s="11"/>
      <c r="C889" s="10"/>
      <c r="D889" s="10"/>
      <c r="E889" s="7"/>
      <c r="G889" s="408"/>
    </row>
    <row r="890" spans="1:12" x14ac:dyDescent="0.25">
      <c r="A890" t="str">
        <f>TEXT(Table1[[#This Row],[Date]],"YYYY"&amp;"- "&amp;"MM")</f>
        <v>1900- 01</v>
      </c>
      <c r="B890" s="11"/>
      <c r="C890" s="10"/>
      <c r="D890" s="10"/>
      <c r="E890" s="7"/>
      <c r="G890" s="408"/>
    </row>
    <row r="891" spans="1:12" x14ac:dyDescent="0.25">
      <c r="A891" t="str">
        <f>TEXT(Table1[[#This Row],[Date]],"YYYY"&amp;"- "&amp;"MM")</f>
        <v>1900- 01</v>
      </c>
      <c r="B891" s="11"/>
      <c r="C891" s="10"/>
      <c r="D891" s="10"/>
      <c r="E891" s="7"/>
      <c r="G891" s="408"/>
    </row>
    <row r="892" spans="1:12" x14ac:dyDescent="0.25">
      <c r="A892" t="str">
        <f>TEXT(Table1[[#This Row],[Date]],"YYYY"&amp;"- "&amp;"MM")</f>
        <v>1900- 01</v>
      </c>
      <c r="B892" s="11"/>
      <c r="C892" s="10"/>
      <c r="D892" s="10"/>
      <c r="E892" s="7"/>
      <c r="G892" s="408"/>
    </row>
    <row r="893" spans="1:12" x14ac:dyDescent="0.25">
      <c r="A893" t="str">
        <f>TEXT(Table1[[#This Row],[Date]],"YYYY"&amp;"- "&amp;"MM")</f>
        <v>1900- 01</v>
      </c>
      <c r="B893" s="11"/>
      <c r="C893" s="10"/>
      <c r="D893" s="10"/>
      <c r="E893" s="7"/>
      <c r="G893" s="408"/>
    </row>
    <row r="894" spans="1:12" x14ac:dyDescent="0.25">
      <c r="A894" t="str">
        <f>TEXT(Table1[[#This Row],[Date]],"YYYY"&amp;"- "&amp;"MM")</f>
        <v>1900- 01</v>
      </c>
      <c r="B894" s="11"/>
      <c r="C894" s="10"/>
      <c r="D894" s="10"/>
      <c r="E894" s="7"/>
      <c r="G894" s="408"/>
    </row>
    <row r="895" spans="1:12" x14ac:dyDescent="0.25">
      <c r="A895" t="str">
        <f>TEXT(Table1[[#This Row],[Date]],"YYYY"&amp;"- "&amp;"MM")</f>
        <v>1900- 01</v>
      </c>
      <c r="B895" s="11"/>
      <c r="C895" s="10"/>
      <c r="D895" s="10"/>
      <c r="E895" s="7"/>
      <c r="G895" s="408"/>
    </row>
    <row r="896" spans="1:12" x14ac:dyDescent="0.25">
      <c r="A896" t="str">
        <f>TEXT(Table1[[#This Row],[Date]],"YYYY"&amp;"- "&amp;"MM")</f>
        <v>1900- 01</v>
      </c>
      <c r="B896" s="11"/>
      <c r="C896" s="10"/>
      <c r="D896" s="10"/>
      <c r="E896" s="7"/>
      <c r="G896" s="408"/>
    </row>
    <row r="897" spans="1:7" x14ac:dyDescent="0.25">
      <c r="A897" t="str">
        <f>TEXT(Table1[[#This Row],[Date]],"YYYY"&amp;"- "&amp;"MM")</f>
        <v>1900- 01</v>
      </c>
      <c r="B897" s="11"/>
      <c r="C897" s="10"/>
      <c r="D897" s="10"/>
      <c r="E897" s="7"/>
      <c r="G897" s="408"/>
    </row>
    <row r="898" spans="1:7" x14ac:dyDescent="0.25">
      <c r="A898" t="str">
        <f>TEXT(Table1[[#This Row],[Date]],"YYYY"&amp;"- "&amp;"MM")</f>
        <v>1900- 01</v>
      </c>
      <c r="B898" s="11"/>
      <c r="C898" s="10"/>
      <c r="D898" s="10"/>
      <c r="E898" s="7"/>
      <c r="G898" s="408"/>
    </row>
    <row r="899" spans="1:7" x14ac:dyDescent="0.25">
      <c r="A899" t="str">
        <f>TEXT(Table1[[#This Row],[Date]],"YYYY"&amp;"- "&amp;"MM")</f>
        <v>1900- 01</v>
      </c>
      <c r="B899" s="11"/>
      <c r="C899" s="10"/>
      <c r="D899" s="10"/>
      <c r="E899" s="7"/>
      <c r="G899" s="408"/>
    </row>
    <row r="900" spans="1:7" x14ac:dyDescent="0.25">
      <c r="A900" t="str">
        <f>TEXT(Table1[[#This Row],[Date]],"YYYY"&amp;"- "&amp;"MM")</f>
        <v>1900- 01</v>
      </c>
      <c r="B900" s="11"/>
      <c r="C900" s="10"/>
      <c r="D900" s="10"/>
      <c r="E900" s="7"/>
      <c r="G900" s="408"/>
    </row>
    <row r="901" spans="1:7" x14ac:dyDescent="0.25">
      <c r="A901" t="str">
        <f>TEXT(Table1[[#This Row],[Date]],"YYYY"&amp;"- "&amp;"MM")</f>
        <v>1900- 01</v>
      </c>
      <c r="B901" s="11"/>
      <c r="C901" s="10"/>
      <c r="D901" s="10"/>
      <c r="E901" s="7"/>
      <c r="G901" s="408"/>
    </row>
    <row r="902" spans="1:7" x14ac:dyDescent="0.25">
      <c r="A902" t="str">
        <f>TEXT(Table1[[#This Row],[Date]],"YYYY"&amp;"- "&amp;"MM")</f>
        <v>1900- 01</v>
      </c>
      <c r="B902" s="11"/>
      <c r="C902" s="10"/>
      <c r="D902" s="10"/>
      <c r="E902" s="7"/>
      <c r="G902" s="408"/>
    </row>
    <row r="903" spans="1:7" x14ac:dyDescent="0.25">
      <c r="A903" t="str">
        <f>TEXT(Table1[[#This Row],[Date]],"YYYY"&amp;"- "&amp;"MM")</f>
        <v>1900- 01</v>
      </c>
      <c r="B903" s="11"/>
      <c r="C903" s="10"/>
      <c r="D903" s="10"/>
      <c r="E903" s="7"/>
      <c r="G903" s="408"/>
    </row>
  </sheetData>
  <mergeCells count="1">
    <mergeCell ref="H762:I766"/>
  </mergeCells>
  <phoneticPr fontId="45" type="noConversion"/>
  <conditionalFormatting sqref="D2:D156">
    <cfRule type="cellIs" dxfId="26" priority="1" operator="greaterThan">
      <formula>8500</formula>
    </cfRule>
  </conditionalFormatting>
  <pageMargins left="0.7" right="0.7" top="0.75" bottom="0.75" header="0.3" footer="0.3"/>
  <pageSetup paperSize="9" orientation="portrait" verticalDpi="0" r:id="rId2"/>
  <drawing r:id="rId3"/>
  <tableParts count="1">
    <tablePart r:id="rId4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CFC8B-AFD7-428D-96DC-1C73DE973FFA}">
  <sheetPr codeName="Sheet24">
    <tabColor rgb="FF002060"/>
  </sheetPr>
  <dimension ref="A1:AIL76"/>
  <sheetViews>
    <sheetView showGridLines="0" topLeftCell="A46" zoomScale="80" zoomScaleNormal="80" workbookViewId="0">
      <selection sqref="A1:Q77"/>
    </sheetView>
  </sheetViews>
  <sheetFormatPr defaultRowHeight="15" x14ac:dyDescent="0.25"/>
  <cols>
    <col min="1" max="1" width="24.7109375" customWidth="1"/>
    <col min="2" max="2" width="13.7109375" customWidth="1"/>
    <col min="3" max="3" width="12.28515625" customWidth="1"/>
    <col min="4" max="4" width="13.85546875" customWidth="1"/>
    <col min="5" max="5" width="13.28515625" customWidth="1"/>
    <col min="6" max="6" width="15.85546875" customWidth="1"/>
    <col min="7" max="7" width="12.28515625" customWidth="1"/>
    <col min="8" max="8" width="13.7109375" customWidth="1"/>
    <col min="9" max="9" width="13.28515625" customWidth="1"/>
  </cols>
  <sheetData>
    <row r="1" spans="1:7" ht="15.75" x14ac:dyDescent="0.25">
      <c r="A1" s="354" t="s">
        <v>267</v>
      </c>
    </row>
    <row r="2" spans="1:7" ht="15.75" x14ac:dyDescent="0.25">
      <c r="A2" s="354"/>
    </row>
    <row r="3" spans="1:7" ht="15.75" x14ac:dyDescent="0.25">
      <c r="A3" s="489" t="s">
        <v>495</v>
      </c>
      <c r="B3" s="489"/>
      <c r="C3" s="489"/>
      <c r="D3" s="489"/>
      <c r="E3" s="489"/>
    </row>
    <row r="4" spans="1:7" ht="15.75" x14ac:dyDescent="0.25">
      <c r="A4" s="354"/>
      <c r="B4" s="355"/>
    </row>
    <row r="5" spans="1:7" x14ac:dyDescent="0.25">
      <c r="A5" s="487" t="s">
        <v>268</v>
      </c>
      <c r="B5" s="487"/>
      <c r="C5" s="378">
        <f>'Sellable Space Index'!C11</f>
        <v>0.4270743699895268</v>
      </c>
      <c r="D5" s="488" t="s">
        <v>269</v>
      </c>
      <c r="E5" s="488"/>
      <c r="F5" s="488"/>
      <c r="G5" s="488"/>
    </row>
    <row r="39" spans="1:7" ht="15.75" thickBot="1" x14ac:dyDescent="0.3">
      <c r="A39" s="220" t="s">
        <v>151</v>
      </c>
    </row>
    <row r="40" spans="1:7" ht="32.450000000000003" customHeight="1" thickBot="1" x14ac:dyDescent="0.3">
      <c r="A40" s="491" t="s">
        <v>155</v>
      </c>
      <c r="B40" s="491" t="s">
        <v>156</v>
      </c>
      <c r="C40" s="493" t="s">
        <v>157</v>
      </c>
      <c r="D40" s="493" t="s">
        <v>270</v>
      </c>
      <c r="E40" s="491" t="s">
        <v>161</v>
      </c>
      <c r="F40" s="495" t="s">
        <v>154</v>
      </c>
      <c r="G40" s="473"/>
    </row>
    <row r="41" spans="1:7" ht="15.75" thickBot="1" x14ac:dyDescent="0.3">
      <c r="A41" s="492"/>
      <c r="B41" s="492"/>
      <c r="C41" s="494"/>
      <c r="D41" s="494"/>
      <c r="E41" s="492"/>
      <c r="F41" s="221" t="s">
        <v>89</v>
      </c>
      <c r="G41" s="190" t="s">
        <v>90</v>
      </c>
    </row>
    <row r="42" spans="1:7" ht="15.75" thickBot="1" x14ac:dyDescent="0.3">
      <c r="A42" s="222" t="s">
        <v>65</v>
      </c>
      <c r="B42" s="223" t="str">
        <f>Table!B4</f>
        <v>CBM</v>
      </c>
      <c r="C42" s="442">
        <f>Table!C4</f>
        <v>21000</v>
      </c>
      <c r="D42" s="442">
        <f>Table!D4</f>
        <v>9403.6718999999994</v>
      </c>
      <c r="E42" s="442">
        <f>Table!E4</f>
        <v>11596.328100000001</v>
      </c>
      <c r="F42" s="442">
        <f>Table!F4</f>
        <v>1237195.135652459</v>
      </c>
      <c r="G42" s="442">
        <f>Table!G4</f>
        <v>279832.70431475411</v>
      </c>
    </row>
    <row r="43" spans="1:7" ht="15.75" thickBot="1" x14ac:dyDescent="0.3">
      <c r="A43" s="160" t="s">
        <v>73</v>
      </c>
      <c r="B43" s="223" t="str">
        <f>Table!B5</f>
        <v>CBM</v>
      </c>
      <c r="C43" s="442">
        <f>Table!C5</f>
        <v>7500</v>
      </c>
      <c r="D43" s="442">
        <f>Table!D5</f>
        <v>7500</v>
      </c>
      <c r="E43" s="442" t="str">
        <f>Table!E5</f>
        <v>0</v>
      </c>
      <c r="F43" s="442">
        <f>Table!F5</f>
        <v>0</v>
      </c>
      <c r="G43" s="442">
        <f>Table!G5</f>
        <v>0</v>
      </c>
    </row>
    <row r="44" spans="1:7" ht="15.75" thickBot="1" x14ac:dyDescent="0.3">
      <c r="A44" s="160" t="s">
        <v>63</v>
      </c>
      <c r="B44" s="223" t="str">
        <f>Table!B6</f>
        <v>CBM</v>
      </c>
      <c r="C44" s="442">
        <f>Table!C6</f>
        <v>10300</v>
      </c>
      <c r="D44" s="442">
        <f>Table!D6</f>
        <v>5558.7183473000014</v>
      </c>
      <c r="E44" s="442">
        <f>Table!E6</f>
        <v>4741.2816526999986</v>
      </c>
      <c r="F44" s="442">
        <f>Table!F6</f>
        <v>453919.42379947525</v>
      </c>
      <c r="G44" s="442">
        <f>Table!G6</f>
        <v>82855.840029150801</v>
      </c>
    </row>
    <row r="45" spans="1:7" ht="30.75" thickBot="1" x14ac:dyDescent="0.3">
      <c r="A45" s="160" t="s">
        <v>271</v>
      </c>
      <c r="B45" s="223" t="str">
        <f>Table!B7</f>
        <v>CBM</v>
      </c>
      <c r="C45" s="442">
        <f>Table!C7</f>
        <v>100</v>
      </c>
      <c r="D45" s="442">
        <f>Table!D7</f>
        <v>39.439366699999859</v>
      </c>
      <c r="E45" s="442">
        <f>Table!E7</f>
        <v>60.560633300000141</v>
      </c>
      <c r="F45" s="442">
        <f>Table!F7</f>
        <v>5797.9360405246034</v>
      </c>
      <c r="G45" s="442">
        <f>Table!G7</f>
        <v>1058.3218868491829</v>
      </c>
    </row>
    <row r="46" spans="1:7" ht="15.75" thickBot="1" x14ac:dyDescent="0.3">
      <c r="A46" s="160" t="s">
        <v>64</v>
      </c>
      <c r="B46" s="223" t="str">
        <f>Table!B8</f>
        <v>CBM</v>
      </c>
      <c r="C46" s="442">
        <f>Table!C8</f>
        <v>10250</v>
      </c>
      <c r="D46" s="442">
        <f>Table!D8</f>
        <v>6463.1408999999994</v>
      </c>
      <c r="E46" s="442">
        <f>Table!E8</f>
        <v>3786.8591000000006</v>
      </c>
      <c r="F46" s="442">
        <f>Table!F8</f>
        <v>309405.0123672132</v>
      </c>
      <c r="G46" s="442">
        <f>Table!G8</f>
        <v>76978.775147541004</v>
      </c>
    </row>
    <row r="47" spans="1:7" ht="15.75" thickBot="1" x14ac:dyDescent="0.3">
      <c r="A47" s="161" t="s">
        <v>171</v>
      </c>
      <c r="B47" s="191"/>
      <c r="C47" s="170">
        <f>SUM(C42:C46)</f>
        <v>49150</v>
      </c>
      <c r="D47" s="170">
        <f>SUM(D42:D46)</f>
        <v>28964.970514000001</v>
      </c>
      <c r="E47" s="170">
        <f>SUM(E42:E46)</f>
        <v>20185.029485999999</v>
      </c>
      <c r="F47" s="170">
        <f>SUM(F42:F46)</f>
        <v>2006317.507859672</v>
      </c>
      <c r="G47" s="170">
        <f>SUM(G42:G46)</f>
        <v>440725.64137829514</v>
      </c>
    </row>
    <row r="48" spans="1:7" ht="30.75" thickBot="1" x14ac:dyDescent="0.3">
      <c r="A48" s="160" t="s">
        <v>67</v>
      </c>
      <c r="B48" s="159" t="s">
        <v>47</v>
      </c>
      <c r="C48" s="357">
        <v>4300</v>
      </c>
      <c r="D48" s="357">
        <f>Table!D12</f>
        <v>3243.8409999999999</v>
      </c>
      <c r="E48" s="230"/>
      <c r="F48" s="230"/>
      <c r="G48" s="230"/>
    </row>
    <row r="49" spans="1:7" x14ac:dyDescent="0.25">
      <c r="E49" s="229"/>
      <c r="F49" s="230"/>
      <c r="G49" s="230"/>
    </row>
    <row r="52" spans="1:7" ht="23.25" x14ac:dyDescent="0.35">
      <c r="A52" s="358" t="s">
        <v>146</v>
      </c>
    </row>
    <row r="71" spans="1:922" ht="15.75" thickBot="1" x14ac:dyDescent="0.3">
      <c r="A71" s="311" t="s">
        <v>146</v>
      </c>
      <c r="B71" s="311"/>
      <c r="C71" s="311"/>
      <c r="D71" s="311"/>
      <c r="E71" s="311"/>
    </row>
    <row r="72" spans="1:922" ht="45.75" thickBot="1" x14ac:dyDescent="0.3">
      <c r="A72" s="244" t="s">
        <v>155</v>
      </c>
      <c r="B72" s="166" t="s">
        <v>156</v>
      </c>
      <c r="C72" s="166" t="s">
        <v>157</v>
      </c>
      <c r="D72" s="165" t="s">
        <v>158</v>
      </c>
      <c r="E72" s="373" t="s">
        <v>159</v>
      </c>
      <c r="AIL72">
        <v>492</v>
      </c>
    </row>
    <row r="73" spans="1:922" ht="15.75" thickBot="1" x14ac:dyDescent="0.3">
      <c r="A73" s="178" t="s">
        <v>81</v>
      </c>
      <c r="B73" s="478" t="s">
        <v>172</v>
      </c>
      <c r="C73" s="490">
        <v>10131</v>
      </c>
      <c r="D73" s="361">
        <f>'All WH'!AIL69</f>
        <v>8238</v>
      </c>
      <c r="E73" s="225">
        <v>0</v>
      </c>
    </row>
    <row r="74" spans="1:922" ht="30.75" thickBot="1" x14ac:dyDescent="0.3">
      <c r="A74" s="180" t="s">
        <v>173</v>
      </c>
      <c r="B74" s="478"/>
      <c r="C74" s="490"/>
      <c r="D74" s="362">
        <v>931</v>
      </c>
      <c r="E74" s="158">
        <v>0</v>
      </c>
    </row>
    <row r="75" spans="1:922" ht="15.75" thickBot="1" x14ac:dyDescent="0.3">
      <c r="A75" s="181" t="s">
        <v>174</v>
      </c>
      <c r="B75" s="182" t="s">
        <v>172</v>
      </c>
      <c r="C75" s="359">
        <v>10131</v>
      </c>
      <c r="D75" s="363">
        <f>SUM(D73:D74)</f>
        <v>9169</v>
      </c>
      <c r="E75" s="360">
        <f>C75-D75</f>
        <v>962</v>
      </c>
    </row>
    <row r="76" spans="1:922" ht="15.75" thickBot="1" x14ac:dyDescent="0.3">
      <c r="A76" s="306" t="s">
        <v>82</v>
      </c>
      <c r="B76" s="182" t="str">
        <f>'All WH'!AIJ72</f>
        <v>No of pallets</v>
      </c>
      <c r="C76" s="359">
        <v>1500</v>
      </c>
      <c r="D76" s="363">
        <f>'All WH'!AIL72</f>
        <v>861</v>
      </c>
      <c r="E76" s="158">
        <f>IF(D76&gt;C76,0,(C76-D76))</f>
        <v>639</v>
      </c>
    </row>
  </sheetData>
  <mergeCells count="11">
    <mergeCell ref="A5:B5"/>
    <mergeCell ref="D5:G5"/>
    <mergeCell ref="A3:E3"/>
    <mergeCell ref="B73:B74"/>
    <mergeCell ref="C73:C74"/>
    <mergeCell ref="A40:A41"/>
    <mergeCell ref="E40:E41"/>
    <mergeCell ref="D40:D41"/>
    <mergeCell ref="C40:C41"/>
    <mergeCell ref="B40:B41"/>
    <mergeCell ref="F40:G40"/>
  </mergeCells>
  <pageMargins left="0.7" right="0.7" top="0.75" bottom="0.75" header="0.3" footer="0.3"/>
  <pageSetup orientation="portrait" horizontalDpi="4294967292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D61C1-388D-43D7-9FF8-2DF927179DD8}">
  <sheetPr codeName="Sheet25">
    <tabColor rgb="FF002060"/>
  </sheetPr>
  <dimension ref="A1:W93"/>
  <sheetViews>
    <sheetView showGridLines="0" tabSelected="1" topLeftCell="A16" zoomScale="65" zoomScaleNormal="65" workbookViewId="0">
      <selection activeCell="I70" sqref="I70"/>
    </sheetView>
  </sheetViews>
  <sheetFormatPr defaultRowHeight="15" x14ac:dyDescent="0.25"/>
  <cols>
    <col min="1" max="1" width="39" customWidth="1"/>
    <col min="2" max="2" width="12.7109375" customWidth="1"/>
    <col min="3" max="3" width="14.42578125" customWidth="1"/>
    <col min="4" max="4" width="13.42578125" customWidth="1"/>
    <col min="5" max="5" width="11.42578125" customWidth="1"/>
    <col min="6" max="6" width="12.42578125" customWidth="1"/>
    <col min="7" max="7" width="14.5703125" customWidth="1"/>
    <col min="8" max="8" width="16.28515625" customWidth="1"/>
    <col min="9" max="9" width="15.85546875" customWidth="1"/>
    <col min="23" max="23" width="11" bestFit="1" customWidth="1"/>
  </cols>
  <sheetData>
    <row r="1" spans="1:23" x14ac:dyDescent="0.25">
      <c r="A1" s="355" t="s">
        <v>272</v>
      </c>
    </row>
    <row r="2" spans="1:23" x14ac:dyDescent="0.25">
      <c r="A2" s="364"/>
    </row>
    <row r="3" spans="1:23" x14ac:dyDescent="0.25">
      <c r="A3" s="498" t="s">
        <v>273</v>
      </c>
      <c r="B3" s="498"/>
      <c r="C3" s="375">
        <f ca="1">'DATA Enter'!E2</f>
        <v>45132</v>
      </c>
      <c r="D3" s="365"/>
    </row>
    <row r="4" spans="1:23" x14ac:dyDescent="0.25">
      <c r="A4" s="365"/>
    </row>
    <row r="5" spans="1:23" x14ac:dyDescent="0.25">
      <c r="A5" s="445" t="s">
        <v>494</v>
      </c>
      <c r="B5" s="369">
        <f>'Sellable Space Index'!C11</f>
        <v>0.4270743699895268</v>
      </c>
      <c r="C5" s="488" t="s">
        <v>274</v>
      </c>
      <c r="D5" s="488"/>
      <c r="E5" s="488"/>
      <c r="F5" s="488"/>
      <c r="G5" s="355"/>
      <c r="H5" s="355"/>
      <c r="I5" s="355"/>
    </row>
    <row r="6" spans="1:23" x14ac:dyDescent="0.25">
      <c r="W6" s="163"/>
    </row>
    <row r="13" spans="1:23" x14ac:dyDescent="0.25">
      <c r="W13" s="163"/>
    </row>
    <row r="57" spans="1:9" x14ac:dyDescent="0.25">
      <c r="A57" s="15" t="str">
        <f>'All WH'!AII84</f>
        <v>Summary</v>
      </c>
    </row>
    <row r="58" spans="1:9" ht="23.45" customHeight="1" x14ac:dyDescent="0.25">
      <c r="A58" s="496" t="str">
        <f>'All WH'!AII85</f>
        <v>Site</v>
      </c>
      <c r="B58" s="496" t="str">
        <f>'All WH'!AIJ85</f>
        <v>Measurement</v>
      </c>
      <c r="C58" s="496" t="str">
        <f>'All WH'!AIK85</f>
        <v xml:space="preserve">Cargo volume Capacity </v>
      </c>
      <c r="D58" s="496" t="str">
        <f>'All WH'!AIL85</f>
        <v>On hand inventory</v>
      </c>
      <c r="E58" s="496" t="str">
        <f>'All WH'!AIM85</f>
        <v>Unoccupied Space</v>
      </c>
      <c r="F58" s="496" t="str">
        <f>'All WH'!AIN85</f>
        <v>For demand fluctuations + Honeycomb</v>
      </c>
      <c r="G58" s="496" t="str">
        <f>'All WH'!AIO85</f>
        <v>Actual Sellable</v>
      </c>
      <c r="H58" s="496" t="str">
        <f>'All WH'!AIP85</f>
        <v>Opportunity Cost For the Day (LKR)</v>
      </c>
      <c r="I58" s="496"/>
    </row>
    <row r="59" spans="1:9" ht="36.6" customHeight="1" x14ac:dyDescent="0.25">
      <c r="A59" s="496"/>
      <c r="B59" s="496"/>
      <c r="C59" s="496"/>
      <c r="D59" s="496"/>
      <c r="E59" s="496"/>
      <c r="F59" s="496"/>
      <c r="G59" s="496"/>
      <c r="H59" s="372" t="str">
        <f>'All WH'!AIP86</f>
        <v>Revenue</v>
      </c>
      <c r="I59" s="372" t="str">
        <f>'All WH'!AIQ86</f>
        <v>Net Profit</v>
      </c>
    </row>
    <row r="60" spans="1:9" x14ac:dyDescent="0.25">
      <c r="A60" s="6" t="str">
        <f>'All WH'!AII87</f>
        <v xml:space="preserve">Expo Global Freeport </v>
      </c>
      <c r="B60" s="8" t="str">
        <f>'All WH'!AIJ87</f>
        <v>CBM</v>
      </c>
      <c r="C60" s="376">
        <f>'All WH'!AIK87</f>
        <v>21000</v>
      </c>
      <c r="D60" s="376">
        <f>'All WH'!AIL87</f>
        <v>8773.6718999999994</v>
      </c>
      <c r="E60" s="376">
        <f>'All WH'!AIM87</f>
        <v>12226.328100000001</v>
      </c>
      <c r="F60" s="376">
        <f>'All WH'!AIN87</f>
        <v>630</v>
      </c>
      <c r="G60" s="376">
        <f>'All WH'!AIO87</f>
        <v>11596.328100000001</v>
      </c>
      <c r="H60" s="376">
        <f>'All WH'!AIP87</f>
        <v>1237195.135652459</v>
      </c>
      <c r="I60" s="376">
        <f>'All WH'!AIQ87</f>
        <v>279832.70431475411</v>
      </c>
    </row>
    <row r="61" spans="1:9" x14ac:dyDescent="0.25">
      <c r="A61" s="6" t="str">
        <f>'All WH'!AII88</f>
        <v>Kandana DC</v>
      </c>
      <c r="B61" s="8" t="str">
        <f>'All WH'!AIJ88</f>
        <v>CBM</v>
      </c>
      <c r="C61" s="376">
        <f>'All WH'!AIK88</f>
        <v>7500</v>
      </c>
      <c r="D61" s="376">
        <f>'All WH'!AIL88</f>
        <v>7676.0394999999999</v>
      </c>
      <c r="E61" s="376" t="str">
        <f>'All WH'!AIM88</f>
        <v>0</v>
      </c>
      <c r="F61" s="376">
        <f>'All WH'!AIN88</f>
        <v>225</v>
      </c>
      <c r="G61" s="376" t="str">
        <f>'All WH'!AIO88</f>
        <v>0</v>
      </c>
      <c r="H61" s="376">
        <f>'All WH'!AIP88</f>
        <v>0</v>
      </c>
      <c r="I61" s="376">
        <f>'All WH'!AIQ88</f>
        <v>0</v>
      </c>
    </row>
    <row r="62" spans="1:9" x14ac:dyDescent="0.25">
      <c r="A62" s="6" t="str">
        <f>'All WH'!AII89</f>
        <v>Orugodawatta DC</v>
      </c>
      <c r="B62" s="8" t="str">
        <f>'All WH'!AIJ89</f>
        <v>CBM</v>
      </c>
      <c r="C62" s="376">
        <f>'All WH'!AIK89</f>
        <v>10300</v>
      </c>
      <c r="D62" s="376">
        <f>'All WH'!AIL89</f>
        <v>4837.7183473000014</v>
      </c>
      <c r="E62" s="376">
        <f>'All WH'!AIM89</f>
        <v>5462.2816526999986</v>
      </c>
      <c r="F62" s="376">
        <f>'All WH'!AIN89</f>
        <v>721.00000000000011</v>
      </c>
      <c r="G62" s="376">
        <f>'All WH'!AIO89</f>
        <v>4741.2816526999986</v>
      </c>
      <c r="H62" s="376">
        <f>'All WH'!AIP89</f>
        <v>453919.42379947525</v>
      </c>
      <c r="I62" s="376">
        <f>'All WH'!AIQ89</f>
        <v>82855.840029150801</v>
      </c>
    </row>
    <row r="63" spans="1:9" x14ac:dyDescent="0.25">
      <c r="A63" s="6" t="str">
        <f>'All WH'!AII90</f>
        <v xml:space="preserve">Orugodawatta DC Cold Room </v>
      </c>
      <c r="B63" s="8" t="str">
        <f>'All WH'!AIJ90</f>
        <v>CBM</v>
      </c>
      <c r="C63" s="376">
        <f>'All WH'!AIK90</f>
        <v>100</v>
      </c>
      <c r="D63" s="376">
        <f>'All WH'!AIL90</f>
        <v>36.439366699999859</v>
      </c>
      <c r="E63" s="376">
        <f>'All WH'!AIM90</f>
        <v>63.560633300000141</v>
      </c>
      <c r="F63" s="376">
        <f>'All WH'!AIN90</f>
        <v>3</v>
      </c>
      <c r="G63" s="376">
        <f>'All WH'!AIO90</f>
        <v>60.560633300000141</v>
      </c>
      <c r="H63" s="376">
        <f>'All WH'!AIP90</f>
        <v>5797.9360405246034</v>
      </c>
      <c r="I63" s="376">
        <f>'All WH'!AIQ90</f>
        <v>1058.3218868491829</v>
      </c>
    </row>
    <row r="64" spans="1:9" x14ac:dyDescent="0.25">
      <c r="A64" s="6" t="str">
        <f>'All WH'!AII91</f>
        <v>Peliyagoda DC</v>
      </c>
      <c r="B64" s="8" t="str">
        <f>'All WH'!AIJ91</f>
        <v>CBM</v>
      </c>
      <c r="C64" s="376">
        <f>'All WH'!AIK91</f>
        <v>10250</v>
      </c>
      <c r="D64" s="376">
        <f>'All WH'!AIL91</f>
        <v>6155.6408999999994</v>
      </c>
      <c r="E64" s="376">
        <f>'All WH'!AIM91</f>
        <v>4094.3591000000006</v>
      </c>
      <c r="F64" s="376">
        <f>'All WH'!AIN91</f>
        <v>307.5</v>
      </c>
      <c r="G64" s="376">
        <f>'All WH'!AIO91</f>
        <v>3786.8591000000006</v>
      </c>
      <c r="H64" s="376">
        <f>'All WH'!AIP91</f>
        <v>309405.0123672132</v>
      </c>
      <c r="I64" s="376">
        <f>'All WH'!AIQ91</f>
        <v>76978.775147541004</v>
      </c>
    </row>
    <row r="65" spans="1:9" x14ac:dyDescent="0.25">
      <c r="A65" s="6" t="str">
        <f>'All WH'!AII92</f>
        <v>Total</v>
      </c>
      <c r="B65" s="5"/>
      <c r="C65" s="377">
        <f>'All WH'!AIK92</f>
        <v>49150</v>
      </c>
      <c r="D65" s="377">
        <f>'All WH'!AIL92</f>
        <v>27479.510014</v>
      </c>
      <c r="E65" s="377">
        <f>'All WH'!AIM92</f>
        <v>21846.529485999999</v>
      </c>
      <c r="F65" s="377">
        <f>'All WH'!AIN92</f>
        <v>1886.5</v>
      </c>
      <c r="G65" s="377">
        <f>'All WH'!AIO92</f>
        <v>20185.029485999999</v>
      </c>
      <c r="H65" s="377">
        <f>'All WH'!AIP92</f>
        <v>2006317.507859672</v>
      </c>
      <c r="I65" s="377">
        <f>'All WH'!AIQ92</f>
        <v>440725.64137829514</v>
      </c>
    </row>
    <row r="66" spans="1:9" x14ac:dyDescent="0.25">
      <c r="A66" s="15"/>
      <c r="C66" s="122"/>
      <c r="D66" s="122"/>
      <c r="E66" s="122"/>
      <c r="F66" s="122"/>
      <c r="G66" s="122"/>
      <c r="H66" s="122"/>
      <c r="I66" s="122"/>
    </row>
    <row r="67" spans="1:9" ht="30" customHeight="1" x14ac:dyDescent="0.25">
      <c r="A67" s="371" t="str">
        <f>'All WH'!AII95</f>
        <v xml:space="preserve">Hirdaramani Woven Client Warehouse </v>
      </c>
      <c r="B67" s="86" t="str">
        <f>'All WH'!AIJ95</f>
        <v>CBM</v>
      </c>
      <c r="C67" s="370">
        <f>'All WH'!AIK95</f>
        <v>4300</v>
      </c>
      <c r="D67" s="370">
        <f>'All WH'!AIL95</f>
        <v>3114.8409999999999</v>
      </c>
      <c r="E67" s="370">
        <f>'All WH'!AIM95</f>
        <v>1185.1590000000001</v>
      </c>
      <c r="F67" s="122"/>
      <c r="G67" s="122"/>
      <c r="H67" s="122"/>
      <c r="I67" s="122"/>
    </row>
    <row r="68" spans="1:9" x14ac:dyDescent="0.25">
      <c r="F68" s="122"/>
      <c r="G68" s="122"/>
      <c r="H68" s="122"/>
      <c r="I68" s="122"/>
    </row>
    <row r="70" spans="1:9" ht="23.25" x14ac:dyDescent="0.25">
      <c r="A70" s="374" t="s">
        <v>146</v>
      </c>
    </row>
    <row r="88" spans="1:5" x14ac:dyDescent="0.25">
      <c r="A88" s="15" t="str">
        <f>'All WH'!AII67</f>
        <v>Nestle DC</v>
      </c>
    </row>
    <row r="89" spans="1:5" ht="49.9" customHeight="1" x14ac:dyDescent="0.25">
      <c r="A89" s="372" t="str">
        <f>'All WH'!AII68</f>
        <v>Site</v>
      </c>
      <c r="B89" s="372" t="str">
        <f>'All WH'!AIJ68</f>
        <v>Measurement</v>
      </c>
      <c r="C89" s="372" t="str">
        <f>'All WH'!AIK68</f>
        <v xml:space="preserve">Cargo volume Capacity </v>
      </c>
      <c r="D89" s="372" t="str">
        <f>'All WH'!AIL68</f>
        <v>On hand inventory</v>
      </c>
      <c r="E89" s="372" t="str">
        <f>'All WH'!AIM68</f>
        <v>Unoccupied Space</v>
      </c>
    </row>
    <row r="90" spans="1:5" x14ac:dyDescent="0.25">
      <c r="A90" s="6" t="str">
        <f>'All WH'!AII69</f>
        <v>Main DC</v>
      </c>
      <c r="B90" s="482" t="str">
        <f>'All WH'!AIJ69</f>
        <v>Pallets</v>
      </c>
      <c r="C90" s="497">
        <f>'All WH'!AIK69</f>
        <v>10131</v>
      </c>
      <c r="D90" s="376">
        <f>'All WH'!AIL69</f>
        <v>8238</v>
      </c>
      <c r="E90" s="376">
        <f>'All WH'!AIM69</f>
        <v>0</v>
      </c>
    </row>
    <row r="91" spans="1:5" ht="31.15" customHeight="1" x14ac:dyDescent="0.25">
      <c r="A91" s="371" t="str">
        <f>'All WH'!AII70</f>
        <v>Main DC - Pick reserve for quality purpose</v>
      </c>
      <c r="B91" s="482"/>
      <c r="C91" s="497"/>
      <c r="D91" s="376">
        <f>'All WH'!AIL70</f>
        <v>931</v>
      </c>
      <c r="E91" s="376">
        <f>'All WH'!AIM70</f>
        <v>0</v>
      </c>
    </row>
    <row r="92" spans="1:5" x14ac:dyDescent="0.25">
      <c r="A92" s="6" t="str">
        <f>'All WH'!AII71</f>
        <v>Main DC Total</v>
      </c>
      <c r="B92" s="7" t="str">
        <f>'All WH'!AIJ71</f>
        <v>Pallets</v>
      </c>
      <c r="C92" s="443">
        <f>'All WH'!AIK71</f>
        <v>10131</v>
      </c>
      <c r="D92" s="443">
        <f>'All WH'!AIL71</f>
        <v>9169</v>
      </c>
      <c r="E92" s="443">
        <f>'All WH'!AIM71</f>
        <v>962</v>
      </c>
    </row>
    <row r="93" spans="1:5" x14ac:dyDescent="0.25">
      <c r="A93" s="6" t="str">
        <f>'All WH'!AII72</f>
        <v>BIPL</v>
      </c>
      <c r="B93" s="7" t="str">
        <f>'All WH'!AIJ72</f>
        <v>No of pallets</v>
      </c>
      <c r="C93" s="443">
        <f>'All WH'!AIK72</f>
        <v>1500</v>
      </c>
      <c r="D93" s="443">
        <f>'All WH'!AIL72</f>
        <v>861</v>
      </c>
      <c r="E93" s="443">
        <f>'All WH'!AIM72</f>
        <v>639</v>
      </c>
    </row>
  </sheetData>
  <mergeCells count="12">
    <mergeCell ref="H58:I58"/>
    <mergeCell ref="B90:B91"/>
    <mergeCell ref="C90:C91"/>
    <mergeCell ref="C5:F5"/>
    <mergeCell ref="A3:B3"/>
    <mergeCell ref="G58:G59"/>
    <mergeCell ref="F58:F59"/>
    <mergeCell ref="E58:E59"/>
    <mergeCell ref="D58:D59"/>
    <mergeCell ref="C58:C59"/>
    <mergeCell ref="B58:B59"/>
    <mergeCell ref="A58:A59"/>
  </mergeCells>
  <pageMargins left="0.7" right="0.7" top="0.75" bottom="0.75" header="0.3" footer="0.3"/>
  <pageSetup orientation="portrait" horizontalDpi="4294967292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1CC3-409F-470D-90B0-68C49410E168}">
  <sheetPr codeName="Sheet26">
    <tabColor rgb="FF92D050"/>
  </sheetPr>
  <dimension ref="A1:J123"/>
  <sheetViews>
    <sheetView showGridLines="0" topLeftCell="A108" zoomScale="84" zoomScaleNormal="84" workbookViewId="0">
      <selection sqref="A1:R124"/>
    </sheetView>
  </sheetViews>
  <sheetFormatPr defaultRowHeight="15" x14ac:dyDescent="0.25"/>
  <cols>
    <col min="1" max="1" width="21.28515625" customWidth="1"/>
    <col min="2" max="2" width="19.5703125" customWidth="1"/>
    <col min="3" max="3" width="15.42578125" customWidth="1"/>
    <col min="4" max="4" width="16.28515625" bestFit="1" customWidth="1"/>
    <col min="5" max="5" width="16.85546875" customWidth="1"/>
    <col min="6" max="6" width="13.85546875" customWidth="1"/>
    <col min="7" max="7" width="10.42578125" bestFit="1" customWidth="1"/>
    <col min="8" max="8" width="13.140625" bestFit="1" customWidth="1"/>
    <col min="9" max="9" width="11.42578125" bestFit="1" customWidth="1"/>
    <col min="10" max="10" width="9.5703125" bestFit="1" customWidth="1"/>
  </cols>
  <sheetData>
    <row r="1" spans="1:10" x14ac:dyDescent="0.25">
      <c r="A1" s="355" t="s">
        <v>272</v>
      </c>
    </row>
    <row r="2" spans="1:10" x14ac:dyDescent="0.25">
      <c r="A2" s="364"/>
    </row>
    <row r="3" spans="1:10" x14ac:dyDescent="0.25">
      <c r="A3" s="498" t="s">
        <v>275</v>
      </c>
      <c r="B3" s="498"/>
      <c r="C3" s="196">
        <f ca="1">'DATA Enter'!E2</f>
        <v>45132</v>
      </c>
    </row>
    <row r="4" spans="1:10" x14ac:dyDescent="0.25">
      <c r="A4" s="365"/>
    </row>
    <row r="5" spans="1:10" x14ac:dyDescent="0.25">
      <c r="A5" s="488" t="s">
        <v>276</v>
      </c>
      <c r="B5" s="488"/>
      <c r="C5" s="403">
        <f>'Sellable Space Index'!C11</f>
        <v>0.4270743699895268</v>
      </c>
      <c r="D5" s="488" t="s">
        <v>269</v>
      </c>
      <c r="E5" s="488"/>
      <c r="F5" s="488"/>
      <c r="G5" s="355"/>
      <c r="H5" s="355"/>
    </row>
    <row r="6" spans="1:10" x14ac:dyDescent="0.25">
      <c r="A6" s="356"/>
    </row>
    <row r="7" spans="1:10" x14ac:dyDescent="0.25">
      <c r="A7" s="488" t="s">
        <v>277</v>
      </c>
      <c r="B7" s="488"/>
      <c r="C7" s="488"/>
      <c r="D7" s="488"/>
      <c r="E7" s="488"/>
      <c r="F7" s="196">
        <f ca="1">C3</f>
        <v>45132</v>
      </c>
      <c r="J7" s="163"/>
    </row>
    <row r="8" spans="1:10" x14ac:dyDescent="0.25">
      <c r="A8" s="355"/>
    </row>
    <row r="9" spans="1:10" x14ac:dyDescent="0.25">
      <c r="A9" s="499" t="s">
        <v>180</v>
      </c>
      <c r="B9" s="499"/>
    </row>
    <row r="10" spans="1:10" x14ac:dyDescent="0.25">
      <c r="A10" s="366"/>
    </row>
    <row r="11" spans="1:10" ht="45" x14ac:dyDescent="0.25">
      <c r="A11" s="254" t="s">
        <v>155</v>
      </c>
      <c r="B11" s="367" t="s">
        <v>278</v>
      </c>
      <c r="C11" s="367" t="s">
        <v>182</v>
      </c>
      <c r="D11" s="367" t="s">
        <v>183</v>
      </c>
      <c r="E11" s="367" t="s">
        <v>184</v>
      </c>
      <c r="F11" s="367" t="s">
        <v>185</v>
      </c>
    </row>
    <row r="12" spans="1:10" x14ac:dyDescent="0.25">
      <c r="A12" s="245" t="s">
        <v>186</v>
      </c>
      <c r="B12" s="343">
        <f>'[1]Ageing-EGF'!$I$2</f>
        <v>2894.76</v>
      </c>
      <c r="C12" s="270">
        <f>'All WH'!AIK102</f>
        <v>8773.6718999999994</v>
      </c>
      <c r="D12" s="401">
        <f>B12/C12</f>
        <v>0.329937115610626</v>
      </c>
      <c r="E12" s="402">
        <f>'100% Occupancy'!C18</f>
        <v>0.44779389999999997</v>
      </c>
      <c r="F12" s="270">
        <f>'All WH'!AIN102</f>
        <v>11596.328100000001</v>
      </c>
    </row>
    <row r="13" spans="1:10" x14ac:dyDescent="0.25">
      <c r="A13" s="245" t="s">
        <v>73</v>
      </c>
      <c r="B13" s="343">
        <f>'[1]Ageing-KFC'!$I$3</f>
        <v>1923.35</v>
      </c>
      <c r="C13" s="270">
        <f>'All WH'!AIK103</f>
        <v>7676.0394999999999</v>
      </c>
      <c r="D13" s="401">
        <f>B13/C13</f>
        <v>0.25056541202009186</v>
      </c>
      <c r="E13" s="402">
        <f>'100% Occupancy'!C21</f>
        <v>1</v>
      </c>
      <c r="F13" s="270">
        <v>0</v>
      </c>
    </row>
    <row r="14" spans="1:10" x14ac:dyDescent="0.25">
      <c r="A14" s="245" t="s">
        <v>63</v>
      </c>
      <c r="B14" s="343">
        <f>'[1]Ageing-OFC'!$I$2</f>
        <v>713.9</v>
      </c>
      <c r="C14" s="270">
        <f>'All WH'!AIK104</f>
        <v>4837.7183473000014</v>
      </c>
      <c r="D14" s="401">
        <f>B14/C14</f>
        <v>0.14756956663226117</v>
      </c>
      <c r="E14" s="402">
        <f>'100% Occupancy'!C15</f>
        <v>0.53968139294174766</v>
      </c>
      <c r="F14" s="270">
        <f>'All WH'!AIN104</f>
        <v>4741.2816526999986</v>
      </c>
    </row>
    <row r="15" spans="1:10" x14ac:dyDescent="0.25">
      <c r="A15" s="245" t="s">
        <v>64</v>
      </c>
      <c r="B15" s="343">
        <f>'[1]Ageing-PFC'!$I$2</f>
        <v>1070.1400000000001</v>
      </c>
      <c r="C15" s="270">
        <f>'All WH'!AIK105</f>
        <v>6155.6408999999994</v>
      </c>
      <c r="D15" s="401">
        <f>B15/C15</f>
        <v>0.1738470481603305</v>
      </c>
      <c r="E15" s="402">
        <f>'100% Occupancy'!$C$17</f>
        <v>0.630550331707317</v>
      </c>
      <c r="F15" s="270">
        <f>'All WH'!AIN105</f>
        <v>3786.8591000000006</v>
      </c>
    </row>
    <row r="16" spans="1:10" x14ac:dyDescent="0.25">
      <c r="A16" s="366"/>
    </row>
    <row r="17" spans="1:5" x14ac:dyDescent="0.25">
      <c r="A17" s="499" t="s">
        <v>279</v>
      </c>
      <c r="B17" s="499"/>
    </row>
    <row r="18" spans="1:5" ht="15.75" thickBot="1" x14ac:dyDescent="0.3">
      <c r="A18" s="366"/>
    </row>
    <row r="19" spans="1:5" ht="30.75" thickBot="1" x14ac:dyDescent="0.3">
      <c r="A19" s="255" t="s">
        <v>155</v>
      </c>
      <c r="B19" s="256" t="s">
        <v>188</v>
      </c>
      <c r="C19" s="256" t="s">
        <v>278</v>
      </c>
      <c r="D19" s="256" t="s">
        <v>189</v>
      </c>
      <c r="E19" s="256" t="s">
        <v>190</v>
      </c>
    </row>
    <row r="20" spans="1:5" ht="30.75" thickBot="1" x14ac:dyDescent="0.3">
      <c r="A20" s="500" t="s">
        <v>186</v>
      </c>
      <c r="B20" s="259" t="str">
        <f>'[1]Age-Sum'!$C$2</f>
        <v>HIRDARAMANI GARMENTS</v>
      </c>
      <c r="C20" s="444">
        <f>'All WH'!AIK111</f>
        <v>800.04</v>
      </c>
      <c r="D20" s="301" t="str">
        <f>'All WH'!AIL111</f>
        <v>2915.68</v>
      </c>
      <c r="E20" s="404">
        <f>'All WH'!AIM111</f>
        <v>0.27439225155023872</v>
      </c>
    </row>
    <row r="21" spans="1:5" ht="30.75" thickBot="1" x14ac:dyDescent="0.3">
      <c r="A21" s="501"/>
      <c r="B21" s="259" t="str">
        <f>'[1]Age-Sum'!$C$3</f>
        <v>VICUNHA EUROPE S.A.R.L</v>
      </c>
      <c r="C21" s="444">
        <f>'All WH'!AIK112</f>
        <v>775.62</v>
      </c>
      <c r="D21" s="301" t="str">
        <f>'All WH'!AIL112</f>
        <v>1359.78</v>
      </c>
      <c r="E21" s="404">
        <f>'All WH'!AIM112</f>
        <v>0.57040109429466535</v>
      </c>
    </row>
    <row r="22" spans="1:5" ht="15.75" thickBot="1" x14ac:dyDescent="0.3">
      <c r="A22" s="502"/>
      <c r="B22" s="259" t="str">
        <f>'[1]Age-Sum'!$C$4</f>
        <v>OMEGA LINE LTD</v>
      </c>
      <c r="C22" s="444">
        <f>'All WH'!AIK113</f>
        <v>322.33999999999997</v>
      </c>
      <c r="D22" s="301" t="str">
        <f>'All WH'!AIL113</f>
        <v>1485.93</v>
      </c>
      <c r="E22" s="404">
        <f>'All WH'!AIM113</f>
        <v>0.21692811909040127</v>
      </c>
    </row>
    <row r="23" spans="1:5" ht="15.75" thickBot="1" x14ac:dyDescent="0.3">
      <c r="A23" s="503" t="s">
        <v>73</v>
      </c>
      <c r="B23" s="259" t="str">
        <f>'[1]Age-Sum'!$C$5</f>
        <v>MAS KREEDA</v>
      </c>
      <c r="C23" s="444">
        <f>'All WH'!AIK114</f>
        <v>1923.35</v>
      </c>
      <c r="D23" s="301" t="str">
        <f>'All WH'!AIL114</f>
        <v>7089.65</v>
      </c>
      <c r="E23" s="404">
        <f>'All WH'!AIM114</f>
        <v>0.27128983800328649</v>
      </c>
    </row>
    <row r="24" spans="1:5" ht="15.75" thickBot="1" x14ac:dyDescent="0.3">
      <c r="A24" s="502"/>
      <c r="B24" s="259" t="str">
        <f>'[1]Age-Sum'!$C$6</f>
        <v>EDOTCO</v>
      </c>
      <c r="C24" s="444">
        <f>'All WH'!AIK115</f>
        <v>209.13</v>
      </c>
      <c r="D24" s="301" t="str">
        <f>'All WH'!AIL115</f>
        <v>209.13</v>
      </c>
      <c r="E24" s="404">
        <f>'All WH'!AIM115</f>
        <v>1</v>
      </c>
    </row>
    <row r="25" spans="1:5" ht="15.75" thickBot="1" x14ac:dyDescent="0.3">
      <c r="A25" s="503" t="s">
        <v>63</v>
      </c>
      <c r="B25" s="259" t="str">
        <f>'[1]Age-Sum'!$C$7</f>
        <v>HEMAS</v>
      </c>
      <c r="C25" s="444">
        <f>'All WH'!AIK116</f>
        <v>271.58</v>
      </c>
      <c r="D25" s="301" t="str">
        <f>'All WH'!AIL116</f>
        <v>899.42</v>
      </c>
      <c r="E25" s="404">
        <f>'All WH'!AIM116</f>
        <v>0.30195014564941852</v>
      </c>
    </row>
    <row r="26" spans="1:5" ht="17.45" customHeight="1" thickBot="1" x14ac:dyDescent="0.3">
      <c r="A26" s="501"/>
      <c r="B26" s="259" t="str">
        <f>'[1]Age-Sum'!$C$8</f>
        <v xml:space="preserve">MILLENNIUM I.T.E.S.P </v>
      </c>
      <c r="C26" s="444">
        <f>'All WH'!AIK117</f>
        <v>121.23</v>
      </c>
      <c r="D26" s="301" t="str">
        <f>'All WH'!AIL117</f>
        <v>147.12</v>
      </c>
      <c r="E26" s="404">
        <f>'All WH'!AIM117</f>
        <v>0.82402120717781402</v>
      </c>
    </row>
    <row r="27" spans="1:5" ht="15.75" thickBot="1" x14ac:dyDescent="0.3">
      <c r="A27" s="502"/>
      <c r="B27" s="259" t="str">
        <f>'[1]Age-Sum'!$C$9</f>
        <v>LINEA AQUA</v>
      </c>
      <c r="C27" s="444">
        <f>'All WH'!AIK118</f>
        <v>68.63</v>
      </c>
      <c r="D27" s="301" t="str">
        <f>'All WH'!AIL118</f>
        <v>447.85</v>
      </c>
      <c r="E27" s="404">
        <f>'All WH'!AIM118</f>
        <v>0.15324327341743885</v>
      </c>
    </row>
    <row r="28" spans="1:5" ht="15.75" thickBot="1" x14ac:dyDescent="0.3">
      <c r="A28" s="503" t="s">
        <v>64</v>
      </c>
      <c r="B28" s="259" t="str">
        <f>'[1]Age-Sum'!$C$10</f>
        <v>MAS KREEDA</v>
      </c>
      <c r="C28" s="444">
        <f>'All WH'!AIK119</f>
        <v>281.5</v>
      </c>
      <c r="D28" s="301" t="str">
        <f>'All WH'!AIL119</f>
        <v>2649.22</v>
      </c>
      <c r="E28" s="404">
        <f>'All WH'!AIM119</f>
        <v>0.10625769094299455</v>
      </c>
    </row>
    <row r="29" spans="1:5" ht="15.75" thickBot="1" x14ac:dyDescent="0.3">
      <c r="A29" s="501"/>
      <c r="B29" s="259" t="str">
        <f>'[1]Age-Sum'!$C$11</f>
        <v>MAS KREEDA</v>
      </c>
      <c r="C29" s="444">
        <f>'All WH'!AIK120</f>
        <v>182.02</v>
      </c>
      <c r="D29" s="301" t="str">
        <f>'All WH'!AIL120</f>
        <v>247.18</v>
      </c>
      <c r="E29" s="404">
        <f>'All WH'!AIM120</f>
        <v>0.73638643903228418</v>
      </c>
    </row>
    <row r="30" spans="1:5" ht="15.75" thickBot="1" x14ac:dyDescent="0.3">
      <c r="A30" s="502"/>
      <c r="B30" s="259" t="str">
        <f>'[1]Age-Sum'!$C$12</f>
        <v>MAS ACTIVE</v>
      </c>
      <c r="C30" s="444">
        <f>'All WH'!AIK121</f>
        <v>148.12</v>
      </c>
      <c r="D30" s="301" t="str">
        <f>'All WH'!AIL121</f>
        <v>1417.10</v>
      </c>
      <c r="E30" s="404">
        <f>'All WH'!AIM121</f>
        <v>0.10452332227789148</v>
      </c>
    </row>
    <row r="31" spans="1:5" x14ac:dyDescent="0.25">
      <c r="A31" s="366"/>
    </row>
    <row r="32" spans="1:5" x14ac:dyDescent="0.25">
      <c r="A32" s="488" t="s">
        <v>280</v>
      </c>
      <c r="B32" s="488"/>
      <c r="C32" s="488"/>
    </row>
    <row r="33" spans="1:3" x14ac:dyDescent="0.25">
      <c r="A33" s="355" t="s">
        <v>281</v>
      </c>
    </row>
    <row r="34" spans="1:3" x14ac:dyDescent="0.25">
      <c r="A34" s="488" t="s">
        <v>282</v>
      </c>
      <c r="B34" s="488"/>
      <c r="C34" s="196">
        <f ca="1">C3</f>
        <v>45132</v>
      </c>
    </row>
    <row r="35" spans="1:3" x14ac:dyDescent="0.25">
      <c r="A35" s="111"/>
    </row>
    <row r="59" ht="14.45" customHeight="1" x14ac:dyDescent="0.25"/>
    <row r="87" spans="1:9" x14ac:dyDescent="0.25">
      <c r="A87" s="15" t="str">
        <f>'Detailed Report'!A57</f>
        <v>Summary</v>
      </c>
    </row>
    <row r="88" spans="1:9" ht="30" customHeight="1" x14ac:dyDescent="0.25">
      <c r="A88" s="496" t="str">
        <f>'Detailed Report'!A58</f>
        <v>Site</v>
      </c>
      <c r="B88" s="496" t="str">
        <f>'Detailed Report'!B58</f>
        <v>Measurement</v>
      </c>
      <c r="C88" s="496" t="str">
        <f>'Detailed Report'!C58</f>
        <v xml:space="preserve">Cargo volume Capacity </v>
      </c>
      <c r="D88" s="496" t="str">
        <f>'Detailed Report'!D58</f>
        <v>On hand inventory</v>
      </c>
      <c r="E88" s="496" t="str">
        <f>'Detailed Report'!E58</f>
        <v>Unoccupied Space</v>
      </c>
      <c r="F88" s="496" t="str">
        <f>'Detailed Report'!F58</f>
        <v>For demand fluctuations + Honeycomb</v>
      </c>
      <c r="G88" s="496" t="str">
        <f>'Detailed Report'!G58</f>
        <v>Actual Sellable</v>
      </c>
      <c r="H88" s="496" t="str">
        <f>'Detailed Report'!H58</f>
        <v>Opportunity Cost For the Day (LKR)</v>
      </c>
      <c r="I88" s="496"/>
    </row>
    <row r="89" spans="1:9" ht="27" customHeight="1" x14ac:dyDescent="0.25">
      <c r="A89" s="496"/>
      <c r="B89" s="496"/>
      <c r="C89" s="496"/>
      <c r="D89" s="496"/>
      <c r="E89" s="496"/>
      <c r="F89" s="496"/>
      <c r="G89" s="496"/>
      <c r="H89" s="372" t="str">
        <f>'Detailed Report'!H59</f>
        <v>Revenue</v>
      </c>
      <c r="I89" s="372" t="str">
        <f>'Detailed Report'!I59</f>
        <v>Net Profit</v>
      </c>
    </row>
    <row r="90" spans="1:9" x14ac:dyDescent="0.25">
      <c r="A90" s="6" t="str">
        <f>'Detailed Report'!A60</f>
        <v xml:space="preserve">Expo Global Freeport </v>
      </c>
      <c r="B90" s="7" t="str">
        <f>'Detailed Report'!B60</f>
        <v>CBM</v>
      </c>
      <c r="C90" s="376">
        <f>'Detailed Report'!C60</f>
        <v>21000</v>
      </c>
      <c r="D90" s="376">
        <f>'Detailed Report'!D60</f>
        <v>8773.6718999999994</v>
      </c>
      <c r="E90" s="376">
        <f>'Detailed Report'!E60</f>
        <v>12226.328100000001</v>
      </c>
      <c r="F90" s="376">
        <f>'Detailed Report'!F60</f>
        <v>630</v>
      </c>
      <c r="G90" s="376">
        <f>'Detailed Report'!G60</f>
        <v>11596.328100000001</v>
      </c>
      <c r="H90" s="405">
        <f>'Detailed Report'!H60</f>
        <v>1237195.135652459</v>
      </c>
      <c r="I90" s="405">
        <f>'Detailed Report'!I60</f>
        <v>279832.70431475411</v>
      </c>
    </row>
    <row r="91" spans="1:9" x14ac:dyDescent="0.25">
      <c r="A91" s="6" t="str">
        <f>'Detailed Report'!A61</f>
        <v>Kandana DC</v>
      </c>
      <c r="B91" s="7" t="str">
        <f>'Detailed Report'!B61</f>
        <v>CBM</v>
      </c>
      <c r="C91" s="376">
        <f>'Detailed Report'!C61</f>
        <v>7500</v>
      </c>
      <c r="D91" s="376">
        <f>'Detailed Report'!D61</f>
        <v>7676.0394999999999</v>
      </c>
      <c r="E91" s="376" t="str">
        <f>'Detailed Report'!E61</f>
        <v>0</v>
      </c>
      <c r="F91" s="376">
        <f>'Detailed Report'!F61</f>
        <v>225</v>
      </c>
      <c r="G91" s="376">
        <v>0</v>
      </c>
      <c r="H91" s="405">
        <f>'Detailed Report'!H61</f>
        <v>0</v>
      </c>
      <c r="I91" s="405">
        <f>'Detailed Report'!I61</f>
        <v>0</v>
      </c>
    </row>
    <row r="92" spans="1:9" x14ac:dyDescent="0.25">
      <c r="A92" s="6" t="str">
        <f>'Detailed Report'!A62</f>
        <v>Orugodawatta DC</v>
      </c>
      <c r="B92" s="7" t="str">
        <f>'Detailed Report'!B62</f>
        <v>CBM</v>
      </c>
      <c r="C92" s="376">
        <f>'Detailed Report'!C62</f>
        <v>10300</v>
      </c>
      <c r="D92" s="376">
        <f>'Detailed Report'!D62</f>
        <v>4837.7183473000014</v>
      </c>
      <c r="E92" s="376">
        <f>'Detailed Report'!E62</f>
        <v>5462.2816526999986</v>
      </c>
      <c r="F92" s="376">
        <f>'Detailed Report'!F62</f>
        <v>721.00000000000011</v>
      </c>
      <c r="G92" s="376">
        <f>'Detailed Report'!G62</f>
        <v>4741.2816526999986</v>
      </c>
      <c r="H92" s="405">
        <f>'Detailed Report'!H62</f>
        <v>453919.42379947525</v>
      </c>
      <c r="I92" s="405">
        <f>'Detailed Report'!I62</f>
        <v>82855.840029150801</v>
      </c>
    </row>
    <row r="93" spans="1:9" ht="26.45" customHeight="1" x14ac:dyDescent="0.25">
      <c r="A93" s="371" t="str">
        <f>'Detailed Report'!A63</f>
        <v xml:space="preserve">Orugodawatta DC Cold Room </v>
      </c>
      <c r="B93" s="7" t="str">
        <f>'Detailed Report'!B63</f>
        <v>CBM</v>
      </c>
      <c r="C93" s="376">
        <f>'Detailed Report'!C63</f>
        <v>100</v>
      </c>
      <c r="D93" s="376">
        <f>'Detailed Report'!D63</f>
        <v>36.439366699999859</v>
      </c>
      <c r="E93" s="376">
        <f>'Detailed Report'!E63</f>
        <v>63.560633300000141</v>
      </c>
      <c r="F93" s="376">
        <f>'Detailed Report'!F63</f>
        <v>3</v>
      </c>
      <c r="G93" s="376">
        <f>'Detailed Report'!G63</f>
        <v>60.560633300000141</v>
      </c>
      <c r="H93" s="405">
        <f>'Detailed Report'!H63</f>
        <v>5797.9360405246034</v>
      </c>
      <c r="I93" s="405">
        <f>'Detailed Report'!I63</f>
        <v>1058.3218868491829</v>
      </c>
    </row>
    <row r="94" spans="1:9" x14ac:dyDescent="0.25">
      <c r="A94" s="6" t="str">
        <f>'Detailed Report'!A64</f>
        <v>Peliyagoda DC</v>
      </c>
      <c r="B94" s="7" t="str">
        <f>'Detailed Report'!B64</f>
        <v>CBM</v>
      </c>
      <c r="C94" s="376">
        <f>'Detailed Report'!C64</f>
        <v>10250</v>
      </c>
      <c r="D94" s="376">
        <f>'Detailed Report'!D64</f>
        <v>6155.6408999999994</v>
      </c>
      <c r="E94" s="376">
        <f>'Detailed Report'!E64</f>
        <v>4094.3591000000006</v>
      </c>
      <c r="F94" s="376">
        <f>'Detailed Report'!F64</f>
        <v>307.5</v>
      </c>
      <c r="G94" s="376">
        <f>'Detailed Report'!G64</f>
        <v>3786.8591000000006</v>
      </c>
      <c r="H94" s="405">
        <f>'Detailed Report'!H64</f>
        <v>309405.0123672132</v>
      </c>
      <c r="I94" s="405">
        <f>'Detailed Report'!I64</f>
        <v>76978.775147541004</v>
      </c>
    </row>
    <row r="95" spans="1:9" x14ac:dyDescent="0.25">
      <c r="A95" s="6" t="str">
        <f>'Detailed Report'!A65</f>
        <v>Total</v>
      </c>
      <c r="B95" s="7"/>
      <c r="C95" s="405">
        <f>'Detailed Report'!C65</f>
        <v>49150</v>
      </c>
      <c r="D95" s="405">
        <f>'Detailed Report'!D65</f>
        <v>27479.510014</v>
      </c>
      <c r="E95" s="405">
        <f>'Detailed Report'!E65</f>
        <v>21846.529485999999</v>
      </c>
      <c r="F95" s="405">
        <f>'Detailed Report'!F65</f>
        <v>1886.5</v>
      </c>
      <c r="G95" s="405">
        <f>'Detailed Report'!G65</f>
        <v>20185.029485999999</v>
      </c>
      <c r="H95" s="405">
        <f>'Detailed Report'!H65</f>
        <v>2006317.507859672</v>
      </c>
      <c r="I95" s="405">
        <f>'Detailed Report'!I65</f>
        <v>440725.64137829514</v>
      </c>
    </row>
    <row r="96" spans="1:9" x14ac:dyDescent="0.25">
      <c r="A96" s="6"/>
      <c r="C96" s="122"/>
      <c r="D96" s="122"/>
      <c r="E96" s="122"/>
      <c r="F96" s="122"/>
      <c r="G96" s="122"/>
      <c r="H96" s="122"/>
      <c r="I96" s="122"/>
    </row>
    <row r="97" spans="1:9" ht="28.9" customHeight="1" x14ac:dyDescent="0.25">
      <c r="A97" s="309" t="str">
        <f>'Detailed Report'!A67</f>
        <v xml:space="preserve">Hirdaramani Woven Client Warehouse </v>
      </c>
      <c r="B97" s="406" t="str">
        <f>'Detailed Report'!B67</f>
        <v>CBM</v>
      </c>
      <c r="C97" s="407">
        <f>'Detailed Report'!C67</f>
        <v>4300</v>
      </c>
      <c r="D97" s="410">
        <f>'Detailed Report'!D67</f>
        <v>3114.8409999999999</v>
      </c>
      <c r="E97" s="410">
        <f>'Detailed Report'!E67</f>
        <v>1185.1590000000001</v>
      </c>
      <c r="F97" s="122"/>
      <c r="G97" s="122"/>
      <c r="H97" s="122"/>
      <c r="I97" s="122"/>
    </row>
    <row r="98" spans="1:9" x14ac:dyDescent="0.25">
      <c r="F98" s="122"/>
      <c r="G98" s="122"/>
      <c r="H98" s="122"/>
      <c r="I98" s="122"/>
    </row>
    <row r="100" spans="1:9" ht="23.25" x14ac:dyDescent="0.25">
      <c r="A100" s="374" t="s">
        <v>146</v>
      </c>
    </row>
    <row r="118" spans="1:5" x14ac:dyDescent="0.25">
      <c r="A118" s="15" t="str">
        <f>'Detailed Report'!A88</f>
        <v>Nestle DC</v>
      </c>
    </row>
    <row r="119" spans="1:5" ht="30" x14ac:dyDescent="0.25">
      <c r="A119" s="372" t="str">
        <f>'Detailed Report'!A89</f>
        <v>Site</v>
      </c>
      <c r="B119" s="372" t="str">
        <f>'Detailed Report'!B89</f>
        <v>Measurement</v>
      </c>
      <c r="C119" s="372" t="str">
        <f>'Detailed Report'!C89</f>
        <v xml:space="preserve">Cargo volume Capacity </v>
      </c>
      <c r="D119" s="372" t="str">
        <f>'Detailed Report'!D89</f>
        <v>On hand inventory</v>
      </c>
      <c r="E119" s="372" t="str">
        <f>'Detailed Report'!E89</f>
        <v>Unoccupied Space</v>
      </c>
    </row>
    <row r="120" spans="1:5" x14ac:dyDescent="0.25">
      <c r="A120" s="6" t="str">
        <f>'Detailed Report'!A90</f>
        <v>Main DC</v>
      </c>
      <c r="B120" s="482" t="str">
        <f>'Detailed Report'!B90</f>
        <v>Pallets</v>
      </c>
      <c r="C120" s="497">
        <f>'Detailed Report'!C90</f>
        <v>10131</v>
      </c>
      <c r="D120" s="376">
        <f>'Detailed Report'!D90</f>
        <v>8238</v>
      </c>
      <c r="E120" s="376">
        <f>'Detailed Report'!E90</f>
        <v>0</v>
      </c>
    </row>
    <row r="121" spans="1:5" ht="30" x14ac:dyDescent="0.25">
      <c r="A121" s="371" t="str">
        <f>'Detailed Report'!A91</f>
        <v>Main DC - Pick reserve for quality purpose</v>
      </c>
      <c r="B121" s="482"/>
      <c r="C121" s="497"/>
      <c r="D121" s="376">
        <f>'Detailed Report'!D91</f>
        <v>931</v>
      </c>
      <c r="E121" s="376">
        <f>'Detailed Report'!E91</f>
        <v>0</v>
      </c>
    </row>
    <row r="122" spans="1:5" x14ac:dyDescent="0.25">
      <c r="A122" s="6" t="str">
        <f>'Detailed Report'!A92</f>
        <v>Main DC Total</v>
      </c>
      <c r="B122" s="7" t="str">
        <f>'Detailed Report'!B92</f>
        <v>Pallets</v>
      </c>
      <c r="C122" s="376">
        <f>'Detailed Report'!C92</f>
        <v>10131</v>
      </c>
      <c r="D122" s="376">
        <f>'Detailed Report'!D92</f>
        <v>9169</v>
      </c>
      <c r="E122" s="376">
        <f>'Detailed Report'!E92</f>
        <v>962</v>
      </c>
    </row>
    <row r="123" spans="1:5" x14ac:dyDescent="0.25">
      <c r="A123" s="6" t="str">
        <f>'Detailed Report'!A93</f>
        <v>BIPL</v>
      </c>
      <c r="B123" s="7" t="str">
        <f>'Detailed Report'!B93</f>
        <v>No of pallets</v>
      </c>
      <c r="C123" s="376">
        <f>'Detailed Report'!C93</f>
        <v>1500</v>
      </c>
      <c r="D123" s="376">
        <f>'Detailed Report'!D93</f>
        <v>861</v>
      </c>
      <c r="E123" s="376">
        <f>'Detailed Report'!E93</f>
        <v>639</v>
      </c>
    </row>
  </sheetData>
  <mergeCells count="22">
    <mergeCell ref="A34:B34"/>
    <mergeCell ref="A20:A22"/>
    <mergeCell ref="A23:A24"/>
    <mergeCell ref="A25:A27"/>
    <mergeCell ref="A28:A30"/>
    <mergeCell ref="A32:C32"/>
    <mergeCell ref="A7:E7"/>
    <mergeCell ref="A5:B5"/>
    <mergeCell ref="A3:B3"/>
    <mergeCell ref="A9:B9"/>
    <mergeCell ref="A17:B17"/>
    <mergeCell ref="D5:F5"/>
    <mergeCell ref="A88:A89"/>
    <mergeCell ref="B88:B89"/>
    <mergeCell ref="C88:C89"/>
    <mergeCell ref="D88:D89"/>
    <mergeCell ref="E88:E89"/>
    <mergeCell ref="F88:F89"/>
    <mergeCell ref="G88:G89"/>
    <mergeCell ref="H88:I88"/>
    <mergeCell ref="B120:B121"/>
    <mergeCell ref="C120:C121"/>
  </mergeCells>
  <pageMargins left="0.7" right="0.7" top="0.75" bottom="0.75" header="0.3" footer="0.3"/>
  <pageSetup orientation="portrait" horizontalDpi="4294967292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14E21-F0C7-4E37-BD25-302E16B0BA2C}">
  <sheetPr codeName="Sheet28">
    <tabColor rgb="FFFF0000"/>
  </sheetPr>
  <dimension ref="A1:S112"/>
  <sheetViews>
    <sheetView workbookViewId="0">
      <selection activeCell="I8" sqref="I8"/>
    </sheetView>
  </sheetViews>
  <sheetFormatPr defaultRowHeight="15" x14ac:dyDescent="0.25"/>
  <cols>
    <col min="1" max="1" width="12.28515625" bestFit="1" customWidth="1"/>
    <col min="2" max="2" width="10.85546875" bestFit="1" customWidth="1"/>
    <col min="3" max="3" width="51.28515625" bestFit="1" customWidth="1"/>
    <col min="4" max="4" width="12.28515625" bestFit="1" customWidth="1"/>
    <col min="5" max="5" width="9.7109375" bestFit="1" customWidth="1"/>
    <col min="6" max="6" width="11.5703125" bestFit="1" customWidth="1"/>
    <col min="7" max="7" width="8.85546875" style="424"/>
    <col min="13" max="13" width="27.42578125" bestFit="1" customWidth="1"/>
    <col min="15" max="15" width="7" bestFit="1" customWidth="1"/>
    <col min="18" max="18" width="11.5703125" bestFit="1" customWidth="1"/>
    <col min="19" max="19" width="10.5703125" bestFit="1" customWidth="1"/>
  </cols>
  <sheetData>
    <row r="1" spans="1:19" x14ac:dyDescent="0.25">
      <c r="G1" s="423" t="s">
        <v>283</v>
      </c>
    </row>
    <row r="2" spans="1:19" x14ac:dyDescent="0.25">
      <c r="A2" s="418" t="s">
        <v>284</v>
      </c>
      <c r="B2" s="418" t="s">
        <v>285</v>
      </c>
      <c r="C2" s="418" t="s">
        <v>286</v>
      </c>
      <c r="D2" s="418" t="s">
        <v>287</v>
      </c>
      <c r="E2" s="418" t="s">
        <v>45</v>
      </c>
      <c r="F2" s="422" t="s">
        <v>122</v>
      </c>
    </row>
    <row r="3" spans="1:19" x14ac:dyDescent="0.25">
      <c r="A3" s="94">
        <v>44980</v>
      </c>
      <c r="B3" s="94" t="s">
        <v>50</v>
      </c>
      <c r="C3" s="417" t="s">
        <v>65</v>
      </c>
      <c r="D3" s="417" t="s">
        <v>47</v>
      </c>
      <c r="E3" s="7">
        <f>18000+3000</f>
        <v>21000</v>
      </c>
      <c r="F3" s="446">
        <v>240000</v>
      </c>
      <c r="G3" s="424" t="s">
        <v>496</v>
      </c>
    </row>
    <row r="4" spans="1:19" x14ac:dyDescent="0.25">
      <c r="A4" s="94">
        <v>44980</v>
      </c>
      <c r="B4" s="7" t="s">
        <v>220</v>
      </c>
      <c r="C4" s="417" t="s">
        <v>73</v>
      </c>
      <c r="D4" s="417" t="s">
        <v>47</v>
      </c>
      <c r="E4" s="7">
        <v>7500</v>
      </c>
      <c r="F4" s="446">
        <v>85000</v>
      </c>
    </row>
    <row r="5" spans="1:19" x14ac:dyDescent="0.25">
      <c r="A5" s="94">
        <v>44980</v>
      </c>
      <c r="B5" s="7" t="s">
        <v>218</v>
      </c>
      <c r="C5" s="417" t="s">
        <v>63</v>
      </c>
      <c r="D5" s="417" t="s">
        <v>47</v>
      </c>
      <c r="E5" s="7">
        <f>9000+500+800</f>
        <v>10300</v>
      </c>
      <c r="F5" s="446">
        <v>60000</v>
      </c>
      <c r="G5" s="421" t="s">
        <v>288</v>
      </c>
    </row>
    <row r="6" spans="1:19" x14ac:dyDescent="0.25">
      <c r="A6" s="94">
        <v>44980</v>
      </c>
      <c r="B6" s="7" t="s">
        <v>289</v>
      </c>
      <c r="C6" s="417" t="s">
        <v>68</v>
      </c>
      <c r="D6" s="417" t="s">
        <v>47</v>
      </c>
      <c r="E6" s="7">
        <v>100</v>
      </c>
      <c r="F6" s="446"/>
    </row>
    <row r="7" spans="1:19" x14ac:dyDescent="0.25">
      <c r="A7" s="94">
        <v>44980</v>
      </c>
      <c r="B7" s="7" t="s">
        <v>219</v>
      </c>
      <c r="C7" s="417" t="s">
        <v>64</v>
      </c>
      <c r="D7" s="417" t="s">
        <v>47</v>
      </c>
      <c r="E7" s="7">
        <f>9500+750</f>
        <v>10250</v>
      </c>
      <c r="F7" s="446">
        <v>100000</v>
      </c>
    </row>
    <row r="8" spans="1:19" x14ac:dyDescent="0.25">
      <c r="A8" s="94">
        <v>44980</v>
      </c>
      <c r="B8" s="7"/>
      <c r="C8" s="417" t="s">
        <v>290</v>
      </c>
      <c r="D8" s="417" t="s">
        <v>47</v>
      </c>
      <c r="E8" s="7">
        <v>1700</v>
      </c>
      <c r="F8" s="446"/>
      <c r="M8" s="417"/>
      <c r="N8" s="7"/>
      <c r="O8" s="26"/>
      <c r="Q8" s="7" t="s">
        <v>497</v>
      </c>
      <c r="R8" s="7" t="s">
        <v>498</v>
      </c>
    </row>
    <row r="9" spans="1:19" x14ac:dyDescent="0.25">
      <c r="A9" s="94">
        <v>44980</v>
      </c>
      <c r="B9" s="7" t="s">
        <v>291</v>
      </c>
      <c r="C9" s="406" t="s">
        <v>67</v>
      </c>
      <c r="D9" s="417" t="s">
        <v>47</v>
      </c>
      <c r="E9" s="7">
        <v>4300</v>
      </c>
      <c r="F9" s="446"/>
      <c r="M9" s="417"/>
      <c r="N9" s="7"/>
      <c r="O9" s="26"/>
      <c r="Q9" s="7" t="s">
        <v>50</v>
      </c>
      <c r="R9" s="78">
        <v>255000</v>
      </c>
    </row>
    <row r="10" spans="1:19" x14ac:dyDescent="0.25">
      <c r="A10" s="94">
        <v>44980</v>
      </c>
      <c r="B10" s="7" t="s">
        <v>292</v>
      </c>
      <c r="C10" s="406" t="s">
        <v>123</v>
      </c>
      <c r="D10" s="406" t="s">
        <v>293</v>
      </c>
      <c r="E10" s="7">
        <v>10131</v>
      </c>
      <c r="F10" s="446"/>
      <c r="M10" s="417"/>
      <c r="N10" s="7"/>
      <c r="O10" s="26"/>
      <c r="Q10" s="7" t="s">
        <v>220</v>
      </c>
      <c r="R10" s="78">
        <v>85000</v>
      </c>
    </row>
    <row r="11" spans="1:19" x14ac:dyDescent="0.25">
      <c r="A11" s="94">
        <v>44980</v>
      </c>
      <c r="B11" s="7" t="s">
        <v>82</v>
      </c>
      <c r="C11" s="406" t="s">
        <v>82</v>
      </c>
      <c r="D11" s="406" t="s">
        <v>293</v>
      </c>
      <c r="E11" s="7">
        <v>1500</v>
      </c>
      <c r="F11" s="446"/>
      <c r="M11" s="417"/>
      <c r="N11" s="7"/>
      <c r="O11" s="26"/>
      <c r="Q11" s="7" t="s">
        <v>218</v>
      </c>
      <c r="R11" s="78">
        <v>119000</v>
      </c>
      <c r="S11" s="79"/>
    </row>
    <row r="12" spans="1:19" x14ac:dyDescent="0.25">
      <c r="M12" s="417"/>
      <c r="N12" s="7"/>
      <c r="O12" s="26"/>
      <c r="Q12" s="7" t="s">
        <v>219</v>
      </c>
      <c r="R12" s="78">
        <v>115000</v>
      </c>
    </row>
    <row r="13" spans="1:19" x14ac:dyDescent="0.25">
      <c r="A13" s="418" t="s">
        <v>284</v>
      </c>
      <c r="B13" s="418" t="s">
        <v>285</v>
      </c>
      <c r="C13" s="418" t="s">
        <v>286</v>
      </c>
      <c r="D13" s="418" t="s">
        <v>89</v>
      </c>
      <c r="E13" s="418" t="s">
        <v>294</v>
      </c>
      <c r="Q13" s="7" t="s">
        <v>171</v>
      </c>
      <c r="R13" s="219">
        <f>SUM(R9:R12)</f>
        <v>574000</v>
      </c>
    </row>
    <row r="14" spans="1:19" x14ac:dyDescent="0.25">
      <c r="A14" s="94">
        <v>44980</v>
      </c>
      <c r="B14" s="94" t="s">
        <v>50</v>
      </c>
      <c r="C14" s="417" t="s">
        <v>65</v>
      </c>
      <c r="D14" s="7">
        <v>3254</v>
      </c>
      <c r="E14" s="7">
        <v>736</v>
      </c>
    </row>
    <row r="15" spans="1:19" x14ac:dyDescent="0.25">
      <c r="A15" s="94">
        <v>44980</v>
      </c>
      <c r="B15" s="7" t="s">
        <v>220</v>
      </c>
      <c r="C15" s="417" t="s">
        <v>73</v>
      </c>
      <c r="D15" s="7">
        <v>3002</v>
      </c>
      <c r="E15" s="7">
        <v>707</v>
      </c>
    </row>
    <row r="16" spans="1:19" x14ac:dyDescent="0.25">
      <c r="A16" s="94">
        <v>44980</v>
      </c>
      <c r="B16" s="7" t="s">
        <v>218</v>
      </c>
      <c r="C16" s="417" t="s">
        <v>63</v>
      </c>
      <c r="D16" s="7">
        <v>2920</v>
      </c>
      <c r="E16" s="7">
        <v>533</v>
      </c>
    </row>
    <row r="17" spans="1:5" x14ac:dyDescent="0.25">
      <c r="A17" s="94">
        <v>44980</v>
      </c>
      <c r="B17" s="7" t="s">
        <v>289</v>
      </c>
      <c r="C17" s="417" t="s">
        <v>68</v>
      </c>
      <c r="D17" s="7">
        <v>2920</v>
      </c>
      <c r="E17" s="7">
        <v>533</v>
      </c>
    </row>
    <row r="18" spans="1:5" x14ac:dyDescent="0.25">
      <c r="A18" s="94">
        <v>44980</v>
      </c>
      <c r="B18" s="7" t="s">
        <v>219</v>
      </c>
      <c r="C18" s="417" t="s">
        <v>64</v>
      </c>
      <c r="D18" s="7">
        <v>2492</v>
      </c>
      <c r="E18" s="7">
        <v>620</v>
      </c>
    </row>
    <row r="19" spans="1:5" x14ac:dyDescent="0.25">
      <c r="A19" s="94">
        <v>44980</v>
      </c>
      <c r="B19" s="7" t="s">
        <v>291</v>
      </c>
      <c r="C19" s="406" t="s">
        <v>67</v>
      </c>
      <c r="D19" s="7"/>
      <c r="E19" s="7"/>
    </row>
    <row r="21" spans="1:5" ht="30" x14ac:dyDescent="0.25">
      <c r="A21" s="418" t="s">
        <v>284</v>
      </c>
      <c r="B21" s="418" t="s">
        <v>285</v>
      </c>
      <c r="C21" s="418" t="s">
        <v>286</v>
      </c>
      <c r="D21" s="420" t="s">
        <v>295</v>
      </c>
    </row>
    <row r="22" spans="1:5" x14ac:dyDescent="0.25">
      <c r="A22" s="94">
        <v>44980</v>
      </c>
      <c r="B22" s="94" t="s">
        <v>50</v>
      </c>
      <c r="C22" s="417" t="s">
        <v>65</v>
      </c>
      <c r="D22" s="7">
        <v>0.03</v>
      </c>
    </row>
    <row r="23" spans="1:5" x14ac:dyDescent="0.25">
      <c r="A23" s="94">
        <v>44980</v>
      </c>
      <c r="B23" s="7" t="s">
        <v>220</v>
      </c>
      <c r="C23" s="417" t="s">
        <v>73</v>
      </c>
      <c r="D23" s="7">
        <v>0.03</v>
      </c>
    </row>
    <row r="24" spans="1:5" x14ac:dyDescent="0.25">
      <c r="A24" s="94">
        <v>44980</v>
      </c>
      <c r="B24" s="7" t="s">
        <v>218</v>
      </c>
      <c r="C24" s="417" t="s">
        <v>63</v>
      </c>
      <c r="D24" s="7">
        <v>7.0000000000000007E-2</v>
      </c>
    </row>
    <row r="25" spans="1:5" x14ac:dyDescent="0.25">
      <c r="A25" s="94">
        <v>44980</v>
      </c>
      <c r="B25" s="7" t="s">
        <v>289</v>
      </c>
      <c r="C25" s="417" t="s">
        <v>68</v>
      </c>
      <c r="D25" s="7">
        <v>0.03</v>
      </c>
    </row>
    <row r="26" spans="1:5" x14ac:dyDescent="0.25">
      <c r="A26" s="94">
        <v>44980</v>
      </c>
      <c r="B26" s="7" t="s">
        <v>219</v>
      </c>
      <c r="C26" s="417" t="s">
        <v>64</v>
      </c>
      <c r="D26" s="7">
        <v>0.03</v>
      </c>
    </row>
    <row r="27" spans="1:5" x14ac:dyDescent="0.25">
      <c r="A27" s="94">
        <v>44980</v>
      </c>
      <c r="B27" s="7" t="s">
        <v>291</v>
      </c>
      <c r="C27" s="406" t="s">
        <v>67</v>
      </c>
      <c r="D27" s="7">
        <v>0.03</v>
      </c>
    </row>
    <row r="29" spans="1:5" x14ac:dyDescent="0.25">
      <c r="A29" s="418" t="s">
        <v>296</v>
      </c>
      <c r="B29" s="418" t="s">
        <v>297</v>
      </c>
      <c r="C29" s="418" t="s">
        <v>298</v>
      </c>
    </row>
    <row r="30" spans="1:5" x14ac:dyDescent="0.25">
      <c r="A30" s="7" t="s">
        <v>46</v>
      </c>
      <c r="B30" s="7" t="s">
        <v>299</v>
      </c>
      <c r="C30" s="7" t="s">
        <v>300</v>
      </c>
    </row>
    <row r="31" spans="1:5" x14ac:dyDescent="0.25">
      <c r="A31" s="7" t="s">
        <v>46</v>
      </c>
      <c r="B31" s="419" t="s">
        <v>301</v>
      </c>
      <c r="C31" s="419" t="s">
        <v>8</v>
      </c>
    </row>
    <row r="32" spans="1:5" x14ac:dyDescent="0.25">
      <c r="A32" s="7" t="s">
        <v>46</v>
      </c>
      <c r="B32" s="7" t="s">
        <v>302</v>
      </c>
      <c r="C32" s="7" t="s">
        <v>303</v>
      </c>
    </row>
    <row r="33" spans="1:3" x14ac:dyDescent="0.25">
      <c r="A33" s="7" t="s">
        <v>46</v>
      </c>
      <c r="B33" s="419" t="s">
        <v>304</v>
      </c>
      <c r="C33" s="419" t="s">
        <v>305</v>
      </c>
    </row>
    <row r="34" spans="1:3" x14ac:dyDescent="0.25">
      <c r="A34" s="7" t="s">
        <v>46</v>
      </c>
      <c r="B34" s="7" t="s">
        <v>306</v>
      </c>
      <c r="C34" s="7" t="s">
        <v>307</v>
      </c>
    </row>
    <row r="35" spans="1:3" x14ac:dyDescent="0.25">
      <c r="A35" s="7" t="s">
        <v>46</v>
      </c>
      <c r="B35" s="419" t="s">
        <v>308</v>
      </c>
      <c r="C35" s="419" t="s">
        <v>309</v>
      </c>
    </row>
    <row r="36" spans="1:3" x14ac:dyDescent="0.25">
      <c r="A36" s="7" t="s">
        <v>46</v>
      </c>
      <c r="B36" s="7" t="s">
        <v>310</v>
      </c>
      <c r="C36" s="7" t="s">
        <v>311</v>
      </c>
    </row>
    <row r="37" spans="1:3" x14ac:dyDescent="0.25">
      <c r="A37" s="7" t="s">
        <v>46</v>
      </c>
      <c r="B37" s="419" t="s">
        <v>312</v>
      </c>
      <c r="C37" s="419" t="s">
        <v>313</v>
      </c>
    </row>
    <row r="38" spans="1:3" x14ac:dyDescent="0.25">
      <c r="A38" s="7" t="s">
        <v>46</v>
      </c>
      <c r="B38" s="7" t="s">
        <v>314</v>
      </c>
      <c r="C38" s="7" t="s">
        <v>315</v>
      </c>
    </row>
    <row r="39" spans="1:3" x14ac:dyDescent="0.25">
      <c r="A39" s="7" t="s">
        <v>46</v>
      </c>
      <c r="B39" s="419" t="s">
        <v>316</v>
      </c>
      <c r="C39" s="419" t="s">
        <v>317</v>
      </c>
    </row>
    <row r="40" spans="1:3" x14ac:dyDescent="0.25">
      <c r="A40" s="7" t="s">
        <v>46</v>
      </c>
      <c r="B40" s="7" t="s">
        <v>318</v>
      </c>
      <c r="C40" s="7" t="s">
        <v>315</v>
      </c>
    </row>
    <row r="41" spans="1:3" x14ac:dyDescent="0.25">
      <c r="A41" s="7" t="s">
        <v>46</v>
      </c>
      <c r="B41" s="419" t="s">
        <v>319</v>
      </c>
      <c r="C41" s="419" t="s">
        <v>320</v>
      </c>
    </row>
    <row r="42" spans="1:3" x14ac:dyDescent="0.25">
      <c r="A42" s="7" t="s">
        <v>46</v>
      </c>
      <c r="B42" s="7" t="s">
        <v>321</v>
      </c>
      <c r="C42" s="7" t="s">
        <v>322</v>
      </c>
    </row>
    <row r="43" spans="1:3" x14ac:dyDescent="0.25">
      <c r="A43" s="7" t="s">
        <v>46</v>
      </c>
      <c r="B43" s="419" t="s">
        <v>323</v>
      </c>
      <c r="C43" s="419" t="s">
        <v>324</v>
      </c>
    </row>
    <row r="44" spans="1:3" x14ac:dyDescent="0.25">
      <c r="A44" s="7" t="s">
        <v>46</v>
      </c>
      <c r="B44" s="7" t="s">
        <v>325</v>
      </c>
      <c r="C44" s="7" t="s">
        <v>326</v>
      </c>
    </row>
    <row r="45" spans="1:3" x14ac:dyDescent="0.25">
      <c r="A45" s="7" t="s">
        <v>46</v>
      </c>
      <c r="B45" s="419" t="s">
        <v>327</v>
      </c>
      <c r="C45" s="419" t="s">
        <v>328</v>
      </c>
    </row>
    <row r="46" spans="1:3" x14ac:dyDescent="0.25">
      <c r="A46" s="7" t="s">
        <v>46</v>
      </c>
      <c r="B46" s="7" t="s">
        <v>329</v>
      </c>
      <c r="C46" s="7" t="s">
        <v>330</v>
      </c>
    </row>
    <row r="47" spans="1:3" x14ac:dyDescent="0.25">
      <c r="A47" s="7" t="s">
        <v>46</v>
      </c>
      <c r="B47" s="419" t="s">
        <v>331</v>
      </c>
      <c r="C47" s="419" t="s">
        <v>332</v>
      </c>
    </row>
    <row r="48" spans="1:3" x14ac:dyDescent="0.25">
      <c r="A48" s="7" t="s">
        <v>46</v>
      </c>
      <c r="B48" s="7" t="s">
        <v>333</v>
      </c>
      <c r="C48" s="7" t="s">
        <v>334</v>
      </c>
    </row>
    <row r="49" spans="1:3" x14ac:dyDescent="0.25">
      <c r="A49" s="7" t="s">
        <v>46</v>
      </c>
      <c r="B49" s="419" t="s">
        <v>335</v>
      </c>
      <c r="C49" s="419" t="s">
        <v>336</v>
      </c>
    </row>
    <row r="50" spans="1:3" x14ac:dyDescent="0.25">
      <c r="A50" s="7" t="s">
        <v>46</v>
      </c>
      <c r="B50" s="7" t="s">
        <v>337</v>
      </c>
      <c r="C50" s="7" t="s">
        <v>338</v>
      </c>
    </row>
    <row r="51" spans="1:3" x14ac:dyDescent="0.25">
      <c r="A51" s="7" t="s">
        <v>46</v>
      </c>
      <c r="B51" s="419" t="s">
        <v>339</v>
      </c>
      <c r="C51" s="419" t="s">
        <v>340</v>
      </c>
    </row>
    <row r="52" spans="1:3" x14ac:dyDescent="0.25">
      <c r="A52" s="7" t="s">
        <v>46</v>
      </c>
      <c r="B52" s="7" t="s">
        <v>341</v>
      </c>
      <c r="C52" s="7" t="s">
        <v>30</v>
      </c>
    </row>
    <row r="53" spans="1:3" x14ac:dyDescent="0.25">
      <c r="A53" s="7" t="s">
        <v>46</v>
      </c>
      <c r="B53" s="419" t="s">
        <v>342</v>
      </c>
      <c r="C53" s="419" t="s">
        <v>343</v>
      </c>
    </row>
    <row r="54" spans="1:3" x14ac:dyDescent="0.25">
      <c r="A54" s="7" t="s">
        <v>46</v>
      </c>
      <c r="B54" s="7" t="s">
        <v>344</v>
      </c>
      <c r="C54" s="7" t="s">
        <v>345</v>
      </c>
    </row>
    <row r="55" spans="1:3" x14ac:dyDescent="0.25">
      <c r="A55" s="7" t="s">
        <v>46</v>
      </c>
      <c r="B55" s="419" t="s">
        <v>346</v>
      </c>
      <c r="C55" s="419" t="s">
        <v>347</v>
      </c>
    </row>
    <row r="56" spans="1:3" x14ac:dyDescent="0.25">
      <c r="A56" s="7" t="s">
        <v>46</v>
      </c>
      <c r="B56" s="7" t="s">
        <v>348</v>
      </c>
      <c r="C56" s="7" t="s">
        <v>349</v>
      </c>
    </row>
    <row r="57" spans="1:3" x14ac:dyDescent="0.25">
      <c r="A57" s="7" t="s">
        <v>46</v>
      </c>
      <c r="B57" s="419" t="s">
        <v>350</v>
      </c>
      <c r="C57" s="419" t="s">
        <v>351</v>
      </c>
    </row>
    <row r="58" spans="1:3" x14ac:dyDescent="0.25">
      <c r="A58" s="7" t="s">
        <v>46</v>
      </c>
      <c r="B58" s="7" t="s">
        <v>352</v>
      </c>
      <c r="C58" s="7" t="s">
        <v>353</v>
      </c>
    </row>
    <row r="59" spans="1:3" x14ac:dyDescent="0.25">
      <c r="A59" s="7" t="s">
        <v>46</v>
      </c>
      <c r="B59" s="419" t="s">
        <v>354</v>
      </c>
      <c r="C59" s="419" t="s">
        <v>355</v>
      </c>
    </row>
    <row r="60" spans="1:3" x14ac:dyDescent="0.25">
      <c r="A60" s="7" t="s">
        <v>46</v>
      </c>
      <c r="B60" s="7" t="s">
        <v>356</v>
      </c>
      <c r="C60" s="7" t="s">
        <v>357</v>
      </c>
    </row>
    <row r="61" spans="1:3" x14ac:dyDescent="0.25">
      <c r="A61" s="7" t="s">
        <v>46</v>
      </c>
      <c r="B61" s="419" t="s">
        <v>358</v>
      </c>
      <c r="C61" s="419" t="s">
        <v>359</v>
      </c>
    </row>
    <row r="62" spans="1:3" x14ac:dyDescent="0.25">
      <c r="A62" s="7" t="s">
        <v>46</v>
      </c>
      <c r="B62" s="7" t="s">
        <v>360</v>
      </c>
      <c r="C62" s="7" t="s">
        <v>361</v>
      </c>
    </row>
    <row r="63" spans="1:3" x14ac:dyDescent="0.25">
      <c r="A63" s="7" t="s">
        <v>3</v>
      </c>
      <c r="B63" s="7" t="s">
        <v>362</v>
      </c>
      <c r="C63" s="7" t="s">
        <v>27</v>
      </c>
    </row>
    <row r="64" spans="1:3" x14ac:dyDescent="0.25">
      <c r="A64" s="7" t="s">
        <v>3</v>
      </c>
      <c r="B64" s="419" t="s">
        <v>363</v>
      </c>
      <c r="C64" s="419" t="s">
        <v>364</v>
      </c>
    </row>
    <row r="65" spans="1:3" x14ac:dyDescent="0.25">
      <c r="A65" s="7" t="s">
        <v>3</v>
      </c>
      <c r="B65" s="7" t="s">
        <v>365</v>
      </c>
      <c r="C65" s="7" t="s">
        <v>6</v>
      </c>
    </row>
    <row r="66" spans="1:3" x14ac:dyDescent="0.25">
      <c r="A66" s="7" t="s">
        <v>3</v>
      </c>
      <c r="B66" s="419" t="s">
        <v>366</v>
      </c>
      <c r="C66" s="419" t="s">
        <v>23</v>
      </c>
    </row>
    <row r="67" spans="1:3" x14ac:dyDescent="0.25">
      <c r="A67" s="7" t="s">
        <v>3</v>
      </c>
      <c r="B67" s="7" t="s">
        <v>367</v>
      </c>
      <c r="C67" s="7" t="s">
        <v>8</v>
      </c>
    </row>
    <row r="68" spans="1:3" x14ac:dyDescent="0.25">
      <c r="A68" s="7" t="s">
        <v>3</v>
      </c>
      <c r="B68" s="419" t="s">
        <v>368</v>
      </c>
      <c r="C68" s="419" t="s">
        <v>369</v>
      </c>
    </row>
    <row r="69" spans="1:3" x14ac:dyDescent="0.25">
      <c r="A69" s="7" t="s">
        <v>3</v>
      </c>
      <c r="B69" s="7" t="s">
        <v>370</v>
      </c>
      <c r="C69" s="7" t="s">
        <v>371</v>
      </c>
    </row>
    <row r="70" spans="1:3" x14ac:dyDescent="0.25">
      <c r="A70" s="7" t="s">
        <v>3</v>
      </c>
      <c r="B70" s="419" t="s">
        <v>372</v>
      </c>
      <c r="C70" s="419" t="s">
        <v>373</v>
      </c>
    </row>
    <row r="71" spans="1:3" x14ac:dyDescent="0.25">
      <c r="A71" s="7" t="s">
        <v>3</v>
      </c>
      <c r="B71" s="7" t="s">
        <v>374</v>
      </c>
      <c r="C71" s="7" t="s">
        <v>375</v>
      </c>
    </row>
    <row r="72" spans="1:3" x14ac:dyDescent="0.25">
      <c r="A72" s="7" t="s">
        <v>3</v>
      </c>
      <c r="B72" s="419" t="s">
        <v>376</v>
      </c>
      <c r="C72" s="419" t="s">
        <v>11</v>
      </c>
    </row>
    <row r="73" spans="1:3" x14ac:dyDescent="0.25">
      <c r="A73" s="7" t="s">
        <v>3</v>
      </c>
      <c r="B73" s="7" t="s">
        <v>377</v>
      </c>
      <c r="C73" s="7" t="s">
        <v>30</v>
      </c>
    </row>
    <row r="74" spans="1:3" x14ac:dyDescent="0.25">
      <c r="A74" s="7" t="s">
        <v>3</v>
      </c>
      <c r="B74" s="419" t="s">
        <v>378</v>
      </c>
      <c r="C74" s="419" t="s">
        <v>37</v>
      </c>
    </row>
    <row r="75" spans="1:3" x14ac:dyDescent="0.25">
      <c r="A75" s="7" t="s">
        <v>3</v>
      </c>
      <c r="B75" s="7" t="s">
        <v>379</v>
      </c>
      <c r="C75" s="7" t="s">
        <v>4</v>
      </c>
    </row>
    <row r="76" spans="1:3" x14ac:dyDescent="0.25">
      <c r="A76" s="7" t="s">
        <v>3</v>
      </c>
      <c r="B76" s="419" t="s">
        <v>380</v>
      </c>
      <c r="C76" s="419" t="s">
        <v>13</v>
      </c>
    </row>
    <row r="77" spans="1:3" x14ac:dyDescent="0.25">
      <c r="A77" s="7" t="s">
        <v>3</v>
      </c>
      <c r="B77" s="7" t="s">
        <v>381</v>
      </c>
      <c r="C77" s="7" t="s">
        <v>382</v>
      </c>
    </row>
    <row r="78" spans="1:3" x14ac:dyDescent="0.25">
      <c r="A78" s="7" t="s">
        <v>3</v>
      </c>
      <c r="B78" s="419" t="s">
        <v>383</v>
      </c>
      <c r="C78" s="419" t="s">
        <v>22</v>
      </c>
    </row>
    <row r="79" spans="1:3" x14ac:dyDescent="0.25">
      <c r="A79" s="7" t="s">
        <v>3</v>
      </c>
      <c r="B79" s="7" t="s">
        <v>318</v>
      </c>
      <c r="C79" s="7" t="s">
        <v>34</v>
      </c>
    </row>
    <row r="80" spans="1:3" x14ac:dyDescent="0.25">
      <c r="A80" s="7" t="s">
        <v>3</v>
      </c>
      <c r="B80" s="419" t="s">
        <v>384</v>
      </c>
      <c r="C80" s="419" t="s">
        <v>25</v>
      </c>
    </row>
    <row r="81" spans="1:3" x14ac:dyDescent="0.25">
      <c r="A81" s="7" t="s">
        <v>385</v>
      </c>
      <c r="B81" s="7" t="s">
        <v>377</v>
      </c>
      <c r="C81" s="7" t="s">
        <v>30</v>
      </c>
    </row>
    <row r="82" spans="1:3" x14ac:dyDescent="0.25">
      <c r="A82" s="419" t="s">
        <v>385</v>
      </c>
      <c r="B82" s="419" t="s">
        <v>386</v>
      </c>
      <c r="C82" s="419" t="s">
        <v>387</v>
      </c>
    </row>
    <row r="83" spans="1:3" x14ac:dyDescent="0.25">
      <c r="A83" s="7" t="s">
        <v>388</v>
      </c>
      <c r="B83" s="7" t="s">
        <v>291</v>
      </c>
      <c r="C83" s="7" t="s">
        <v>389</v>
      </c>
    </row>
    <row r="84" spans="1:3" x14ac:dyDescent="0.25">
      <c r="A84" s="419" t="s">
        <v>388</v>
      </c>
      <c r="B84" s="419" t="s">
        <v>390</v>
      </c>
      <c r="C84" s="419" t="s">
        <v>391</v>
      </c>
    </row>
    <row r="85" spans="1:3" x14ac:dyDescent="0.25">
      <c r="A85" s="7" t="s">
        <v>388</v>
      </c>
      <c r="B85" s="7" t="s">
        <v>392</v>
      </c>
      <c r="C85" s="7" t="s">
        <v>393</v>
      </c>
    </row>
    <row r="86" spans="1:3" x14ac:dyDescent="0.25">
      <c r="A86" s="419" t="s">
        <v>388</v>
      </c>
      <c r="B86" s="419" t="s">
        <v>394</v>
      </c>
      <c r="C86" s="419" t="s">
        <v>395</v>
      </c>
    </row>
    <row r="87" spans="1:3" x14ac:dyDescent="0.25">
      <c r="A87" s="7" t="s">
        <v>388</v>
      </c>
      <c r="B87" s="7" t="s">
        <v>396</v>
      </c>
      <c r="C87" s="7" t="s">
        <v>397</v>
      </c>
    </row>
    <row r="88" spans="1:3" x14ac:dyDescent="0.25">
      <c r="A88" s="419" t="s">
        <v>388</v>
      </c>
      <c r="B88" s="419" t="s">
        <v>398</v>
      </c>
      <c r="C88" s="419" t="s">
        <v>399</v>
      </c>
    </row>
    <row r="89" spans="1:3" x14ac:dyDescent="0.25">
      <c r="A89" s="7" t="s">
        <v>388</v>
      </c>
      <c r="B89" s="7" t="s">
        <v>400</v>
      </c>
      <c r="C89" s="7" t="s">
        <v>401</v>
      </c>
    </row>
    <row r="90" spans="1:3" x14ac:dyDescent="0.25">
      <c r="A90" s="419" t="s">
        <v>388</v>
      </c>
      <c r="B90" s="419" t="s">
        <v>402</v>
      </c>
      <c r="C90" s="419" t="s">
        <v>403</v>
      </c>
    </row>
    <row r="91" spans="1:3" x14ac:dyDescent="0.25">
      <c r="A91" s="7" t="s">
        <v>388</v>
      </c>
      <c r="B91" s="7" t="s">
        <v>404</v>
      </c>
      <c r="C91" s="7" t="s">
        <v>405</v>
      </c>
    </row>
    <row r="92" spans="1:3" x14ac:dyDescent="0.25">
      <c r="A92" s="419" t="s">
        <v>388</v>
      </c>
      <c r="B92" s="419" t="s">
        <v>406</v>
      </c>
      <c r="C92" s="419" t="s">
        <v>407</v>
      </c>
    </row>
    <row r="93" spans="1:3" x14ac:dyDescent="0.25">
      <c r="A93" s="7" t="s">
        <v>388</v>
      </c>
      <c r="B93" s="7" t="s">
        <v>408</v>
      </c>
      <c r="C93" s="7" t="s">
        <v>409</v>
      </c>
    </row>
    <row r="94" spans="1:3" x14ac:dyDescent="0.25">
      <c r="A94" s="419" t="s">
        <v>388</v>
      </c>
      <c r="B94" s="419" t="s">
        <v>410</v>
      </c>
      <c r="C94" s="419" t="s">
        <v>411</v>
      </c>
    </row>
    <row r="95" spans="1:3" x14ac:dyDescent="0.25">
      <c r="A95" s="7" t="s">
        <v>388</v>
      </c>
      <c r="B95" s="7" t="s">
        <v>412</v>
      </c>
      <c r="C95" s="7" t="s">
        <v>413</v>
      </c>
    </row>
    <row r="96" spans="1:3" x14ac:dyDescent="0.25">
      <c r="A96" s="419" t="s">
        <v>388</v>
      </c>
      <c r="B96" s="419" t="s">
        <v>414</v>
      </c>
      <c r="C96" s="419" t="s">
        <v>415</v>
      </c>
    </row>
    <row r="97" spans="1:3" x14ac:dyDescent="0.25">
      <c r="A97" s="7" t="s">
        <v>388</v>
      </c>
      <c r="B97" s="7" t="s">
        <v>416</v>
      </c>
      <c r="C97" s="7" t="s">
        <v>417</v>
      </c>
    </row>
    <row r="98" spans="1:3" x14ac:dyDescent="0.25">
      <c r="A98" s="419" t="s">
        <v>388</v>
      </c>
      <c r="B98" s="419" t="s">
        <v>418</v>
      </c>
      <c r="C98" s="419" t="s">
        <v>419</v>
      </c>
    </row>
    <row r="99" spans="1:3" x14ac:dyDescent="0.25">
      <c r="A99" s="7" t="s">
        <v>388</v>
      </c>
      <c r="B99" s="7" t="s">
        <v>420</v>
      </c>
      <c r="C99" s="7" t="s">
        <v>421</v>
      </c>
    </row>
    <row r="100" spans="1:3" x14ac:dyDescent="0.25">
      <c r="A100" s="419" t="s">
        <v>388</v>
      </c>
      <c r="B100" s="419" t="s">
        <v>422</v>
      </c>
      <c r="C100" s="419" t="s">
        <v>423</v>
      </c>
    </row>
    <row r="101" spans="1:3" x14ac:dyDescent="0.25">
      <c r="A101" s="7" t="s">
        <v>388</v>
      </c>
      <c r="B101" s="7" t="s">
        <v>424</v>
      </c>
      <c r="C101" s="7" t="s">
        <v>425</v>
      </c>
    </row>
    <row r="102" spans="1:3" x14ac:dyDescent="0.25">
      <c r="A102" s="419" t="s">
        <v>388</v>
      </c>
      <c r="B102" s="419" t="s">
        <v>426</v>
      </c>
      <c r="C102" s="419" t="s">
        <v>427</v>
      </c>
    </row>
    <row r="103" spans="1:3" x14ac:dyDescent="0.25">
      <c r="A103" s="7" t="s">
        <v>388</v>
      </c>
      <c r="B103" s="7" t="s">
        <v>428</v>
      </c>
      <c r="C103" s="7" t="s">
        <v>427</v>
      </c>
    </row>
    <row r="104" spans="1:3" x14ac:dyDescent="0.25">
      <c r="A104" s="419" t="s">
        <v>388</v>
      </c>
      <c r="B104" s="419" t="s">
        <v>429</v>
      </c>
      <c r="C104" s="419" t="s">
        <v>430</v>
      </c>
    </row>
    <row r="105" spans="1:3" x14ac:dyDescent="0.25">
      <c r="A105" s="7" t="s">
        <v>388</v>
      </c>
      <c r="B105" s="7" t="s">
        <v>431</v>
      </c>
      <c r="C105" s="7" t="s">
        <v>432</v>
      </c>
    </row>
    <row r="106" spans="1:3" x14ac:dyDescent="0.25">
      <c r="A106" s="419" t="s">
        <v>388</v>
      </c>
      <c r="B106" s="419" t="s">
        <v>433</v>
      </c>
      <c r="C106" s="419" t="s">
        <v>434</v>
      </c>
    </row>
    <row r="107" spans="1:3" x14ac:dyDescent="0.25">
      <c r="A107" s="7" t="s">
        <v>388</v>
      </c>
      <c r="B107" s="7" t="s">
        <v>435</v>
      </c>
      <c r="C107" s="7" t="s">
        <v>436</v>
      </c>
    </row>
    <row r="108" spans="1:3" x14ac:dyDescent="0.25">
      <c r="A108" s="419" t="s">
        <v>388</v>
      </c>
      <c r="B108" s="419" t="s">
        <v>437</v>
      </c>
      <c r="C108" s="419" t="s">
        <v>438</v>
      </c>
    </row>
    <row r="109" spans="1:3" x14ac:dyDescent="0.25">
      <c r="A109" s="7" t="s">
        <v>388</v>
      </c>
      <c r="B109" s="7" t="s">
        <v>439</v>
      </c>
      <c r="C109" s="7" t="s">
        <v>440</v>
      </c>
    </row>
    <row r="110" spans="1:3" x14ac:dyDescent="0.25">
      <c r="A110" s="419" t="s">
        <v>388</v>
      </c>
      <c r="B110" s="419" t="s">
        <v>441</v>
      </c>
      <c r="C110" s="419" t="s">
        <v>442</v>
      </c>
    </row>
    <row r="111" spans="1:3" x14ac:dyDescent="0.25">
      <c r="A111" s="7" t="s">
        <v>388</v>
      </c>
      <c r="B111" s="7" t="s">
        <v>443</v>
      </c>
      <c r="C111" s="7" t="s">
        <v>444</v>
      </c>
    </row>
    <row r="112" spans="1:3" x14ac:dyDescent="0.25">
      <c r="A112" s="419" t="s">
        <v>388</v>
      </c>
      <c r="B112" s="419" t="s">
        <v>445</v>
      </c>
      <c r="C112" s="419" t="s">
        <v>446</v>
      </c>
    </row>
  </sheetData>
  <autoFilter ref="A29:C29" xr:uid="{81114E21-F0C7-4E37-BD25-302E16B0BA2C}"/>
  <pageMargins left="0.7" right="0.7" top="0.75" bottom="0.75" header="0.3" footer="0.3"/>
  <pageSetup orientation="portrait" horizontalDpi="4294967292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4BD65-0D3D-4924-935F-EDD383D9DE08}">
  <sheetPr codeName="Sheet21"/>
  <dimension ref="B1:M21"/>
  <sheetViews>
    <sheetView zoomScale="72" zoomScaleNormal="72" workbookViewId="0">
      <selection activeCell="D16" sqref="D16"/>
    </sheetView>
  </sheetViews>
  <sheetFormatPr defaultRowHeight="15" x14ac:dyDescent="0.25"/>
  <cols>
    <col min="1" max="1" width="8.85546875" customWidth="1"/>
    <col min="11" max="11" width="13.5703125" bestFit="1" customWidth="1"/>
    <col min="12" max="12" width="12.85546875" bestFit="1" customWidth="1"/>
  </cols>
  <sheetData>
    <row r="1" spans="2:13" ht="15.75" thickBot="1" x14ac:dyDescent="0.3"/>
    <row r="2" spans="2:13" ht="15.75" thickBot="1" x14ac:dyDescent="0.3">
      <c r="B2" s="304" t="s">
        <v>65</v>
      </c>
      <c r="D2">
        <v>18000</v>
      </c>
      <c r="E2" s="122">
        <f>D2*0.03</f>
        <v>540</v>
      </c>
      <c r="F2" s="122"/>
    </row>
    <row r="3" spans="2:13" ht="15.75" thickBot="1" x14ac:dyDescent="0.3">
      <c r="B3" s="304" t="s">
        <v>73</v>
      </c>
      <c r="D3">
        <v>7500</v>
      </c>
      <c r="E3" s="122">
        <f t="shared" ref="E3:E6" si="0">D3*0.03</f>
        <v>225</v>
      </c>
      <c r="F3" s="122"/>
    </row>
    <row r="4" spans="2:13" ht="15.75" thickBot="1" x14ac:dyDescent="0.3">
      <c r="B4" s="304" t="s">
        <v>63</v>
      </c>
      <c r="D4">
        <v>9750</v>
      </c>
      <c r="E4" s="122">
        <f>D4*0.07</f>
        <v>682.50000000000011</v>
      </c>
      <c r="F4" s="122"/>
      <c r="K4" s="392"/>
      <c r="L4" s="393"/>
      <c r="M4" s="394"/>
    </row>
    <row r="5" spans="2:13" ht="15.75" thickBot="1" x14ac:dyDescent="0.3">
      <c r="B5" s="304" t="s">
        <v>68</v>
      </c>
      <c r="E5" s="122"/>
      <c r="F5" s="122"/>
      <c r="K5" s="395"/>
      <c r="L5" s="396"/>
      <c r="M5" s="397"/>
    </row>
    <row r="6" spans="2:13" ht="15.75" thickBot="1" x14ac:dyDescent="0.3">
      <c r="B6" s="304" t="s">
        <v>64</v>
      </c>
      <c r="D6">
        <v>10250</v>
      </c>
      <c r="E6" s="122">
        <f t="shared" si="0"/>
        <v>307.5</v>
      </c>
      <c r="F6" s="122"/>
      <c r="K6" s="395"/>
      <c r="L6" s="396"/>
      <c r="M6" s="397"/>
    </row>
    <row r="7" spans="2:13" x14ac:dyDescent="0.25">
      <c r="D7">
        <f>SUM(D2:D6)</f>
        <v>45500</v>
      </c>
      <c r="E7">
        <f>SUM(E2:E6)</f>
        <v>1755</v>
      </c>
      <c r="F7" s="122">
        <f>D7-E7</f>
        <v>43745</v>
      </c>
      <c r="K7" s="395"/>
      <c r="L7" s="396"/>
      <c r="M7" s="397"/>
    </row>
    <row r="8" spans="2:13" x14ac:dyDescent="0.25">
      <c r="K8" s="395"/>
      <c r="L8" s="396"/>
      <c r="M8" s="397"/>
    </row>
    <row r="9" spans="2:13" x14ac:dyDescent="0.25">
      <c r="K9" s="395"/>
      <c r="L9" s="396"/>
      <c r="M9" s="397"/>
    </row>
    <row r="10" spans="2:13" x14ac:dyDescent="0.25">
      <c r="K10" s="395"/>
      <c r="L10" s="396"/>
      <c r="M10" s="397"/>
    </row>
    <row r="11" spans="2:13" x14ac:dyDescent="0.25">
      <c r="K11" s="395"/>
      <c r="L11" s="396"/>
      <c r="M11" s="397"/>
    </row>
    <row r="12" spans="2:13" x14ac:dyDescent="0.25">
      <c r="K12" s="395"/>
      <c r="L12" s="396"/>
      <c r="M12" s="397"/>
    </row>
    <row r="13" spans="2:13" x14ac:dyDescent="0.25">
      <c r="K13" s="395"/>
      <c r="L13" s="396"/>
      <c r="M13" s="397"/>
    </row>
    <row r="14" spans="2:13" x14ac:dyDescent="0.25">
      <c r="K14" s="395"/>
      <c r="L14" s="396"/>
      <c r="M14" s="397"/>
    </row>
    <row r="15" spans="2:13" x14ac:dyDescent="0.25">
      <c r="K15" s="395"/>
      <c r="L15" s="396"/>
      <c r="M15" s="397"/>
    </row>
    <row r="16" spans="2:13" x14ac:dyDescent="0.25">
      <c r="K16" s="395"/>
      <c r="L16" s="396"/>
      <c r="M16" s="397"/>
    </row>
    <row r="17" spans="11:13" x14ac:dyDescent="0.25">
      <c r="K17" s="395"/>
      <c r="L17" s="396"/>
      <c r="M17" s="397"/>
    </row>
    <row r="18" spans="11:13" x14ac:dyDescent="0.25">
      <c r="K18" s="395"/>
      <c r="L18" s="396"/>
      <c r="M18" s="397"/>
    </row>
    <row r="19" spans="11:13" x14ac:dyDescent="0.25">
      <c r="K19" s="395"/>
      <c r="L19" s="396"/>
      <c r="M19" s="397"/>
    </row>
    <row r="20" spans="11:13" x14ac:dyDescent="0.25">
      <c r="K20" s="395"/>
      <c r="L20" s="396"/>
      <c r="M20" s="397"/>
    </row>
    <row r="21" spans="11:13" x14ac:dyDescent="0.25">
      <c r="K21" s="398"/>
      <c r="L21" s="399"/>
      <c r="M21" s="400"/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762D4-9C90-4D27-BCAC-1618B57A6040}">
  <sheetPr codeName="Sheet20"/>
  <dimension ref="B1:D11"/>
  <sheetViews>
    <sheetView zoomScale="62" zoomScaleNormal="62" workbookViewId="0">
      <selection activeCell="P24" sqref="P24"/>
    </sheetView>
  </sheetViews>
  <sheetFormatPr defaultRowHeight="15" x14ac:dyDescent="0.25"/>
  <cols>
    <col min="2" max="2" width="50.140625" customWidth="1"/>
    <col min="3" max="4" width="14.140625" customWidth="1"/>
  </cols>
  <sheetData>
    <row r="1" spans="2:4" ht="15.75" thickBot="1" x14ac:dyDescent="0.3"/>
    <row r="2" spans="2:4" ht="48" thickBot="1" x14ac:dyDescent="0.3">
      <c r="B2" s="335" t="s">
        <v>155</v>
      </c>
      <c r="C2" s="335" t="s">
        <v>447</v>
      </c>
      <c r="D2" s="336" t="s">
        <v>448</v>
      </c>
    </row>
    <row r="3" spans="2:4" ht="51.75" customHeight="1" thickBot="1" x14ac:dyDescent="0.3">
      <c r="B3" s="337" t="s">
        <v>63</v>
      </c>
      <c r="C3" s="338">
        <f>'All WH'!AIK58*(1-'All WH'!AIN54)</f>
        <v>9579</v>
      </c>
      <c r="D3" s="338">
        <f>'All WH'!AIO58</f>
        <v>4741.2816526999986</v>
      </c>
    </row>
    <row r="4" spans="2:4" ht="51.75" customHeight="1" thickBot="1" x14ac:dyDescent="0.3">
      <c r="B4" s="337" t="s">
        <v>68</v>
      </c>
      <c r="C4" s="338">
        <f>'All WH'!AIK59*(1-'All WH'!$AIN$55)</f>
        <v>97</v>
      </c>
      <c r="D4" s="338">
        <f>'All WH'!AIO59</f>
        <v>60.560633300000141</v>
      </c>
    </row>
    <row r="5" spans="2:4" ht="51.75" customHeight="1" thickBot="1" x14ac:dyDescent="0.3">
      <c r="B5" s="337" t="s">
        <v>64</v>
      </c>
      <c r="C5" s="338">
        <f>'All WH'!AIK60*(1-'All WH'!$AIN$55)</f>
        <v>9942.5</v>
      </c>
      <c r="D5" s="338">
        <f>'All WH'!AIO60</f>
        <v>3786.8591000000006</v>
      </c>
    </row>
    <row r="6" spans="2:4" ht="51.75" customHeight="1" thickBot="1" x14ac:dyDescent="0.3">
      <c r="B6" s="337" t="s">
        <v>65</v>
      </c>
      <c r="C6" s="338">
        <f>'All WH'!AIK61*(1-'All WH'!$AIN$55)</f>
        <v>20370</v>
      </c>
      <c r="D6" s="338">
        <f>'All WH'!AIO61</f>
        <v>11596.328100000001</v>
      </c>
    </row>
    <row r="7" spans="2:4" ht="51.75" customHeight="1" thickBot="1" x14ac:dyDescent="0.3">
      <c r="B7" s="337" t="s">
        <v>73</v>
      </c>
      <c r="C7" s="338">
        <f>'All WH'!AIK64*(1-'All WH'!$AIN$55)</f>
        <v>7275</v>
      </c>
      <c r="D7" s="338" t="str">
        <f>'All WH'!AIO64</f>
        <v>0</v>
      </c>
    </row>
    <row r="8" spans="2:4" ht="16.5" thickBot="1" x14ac:dyDescent="0.3">
      <c r="B8" s="339" t="s">
        <v>171</v>
      </c>
      <c r="C8" s="338">
        <f>SUM(C3:C7)</f>
        <v>47263.5</v>
      </c>
      <c r="D8" s="338">
        <f>SUM(D3:D7)</f>
        <v>20185.029485999999</v>
      </c>
    </row>
    <row r="9" spans="2:4" ht="15.75" x14ac:dyDescent="0.25">
      <c r="B9" s="340"/>
      <c r="C9" s="340"/>
      <c r="D9" s="340"/>
    </row>
    <row r="10" spans="2:4" ht="15.75" x14ac:dyDescent="0.25">
      <c r="B10" s="340"/>
      <c r="C10" s="340"/>
      <c r="D10" s="340"/>
    </row>
    <row r="11" spans="2:4" ht="15.75" x14ac:dyDescent="0.25">
      <c r="B11" s="341" t="s">
        <v>449</v>
      </c>
      <c r="C11" s="342">
        <f>D8/C8</f>
        <v>0.4270743699895268</v>
      </c>
      <c r="D11" s="340"/>
    </row>
  </sheetData>
  <pageMargins left="0.7" right="0.7" top="0.75" bottom="0.75" header="0.3" footer="0.3"/>
  <pageSetup orientation="portrait" horizontalDpi="4294967292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"/>
  <dimension ref="A1:AJS165"/>
  <sheetViews>
    <sheetView showGridLines="0" topLeftCell="KJ1" zoomScale="80" zoomScaleNormal="80" workbookViewId="0">
      <pane xSplit="3" ySplit="1" topLeftCell="AIG49" activePane="bottomRight" state="frozen"/>
      <selection pane="topRight" activeCell="KM1" sqref="KM1"/>
      <selection pane="bottomLeft" activeCell="KJ2" sqref="KJ2"/>
      <selection pane="bottomRight" activeCell="AIO58" sqref="AIO58"/>
    </sheetView>
  </sheetViews>
  <sheetFormatPr defaultRowHeight="15" x14ac:dyDescent="0.25"/>
  <cols>
    <col min="1" max="1" width="13.28515625" customWidth="1"/>
    <col min="2" max="2" width="13.140625" style="3" customWidth="1"/>
    <col min="3" max="3" width="11.85546875" bestFit="1" customWidth="1"/>
    <col min="4" max="4" width="12.42578125" customWidth="1"/>
    <col min="5" max="5" width="11.85546875" bestFit="1" customWidth="1"/>
    <col min="6" max="6" width="12.85546875" customWidth="1"/>
    <col min="7" max="11" width="11.28515625" bestFit="1" customWidth="1"/>
    <col min="12" max="12" width="12.42578125" bestFit="1" customWidth="1"/>
    <col min="13" max="17" width="11.85546875" bestFit="1" customWidth="1"/>
    <col min="18" max="18" width="11.85546875" customWidth="1"/>
    <col min="19" max="19" width="13.42578125" customWidth="1"/>
    <col min="20" max="22" width="12.42578125" bestFit="1" customWidth="1"/>
    <col min="23" max="141" width="11.85546875" customWidth="1"/>
    <col min="142" max="168" width="12" customWidth="1"/>
    <col min="169" max="169" width="13.5703125" bestFit="1" customWidth="1"/>
    <col min="170" max="187" width="13.5703125" customWidth="1"/>
    <col min="188" max="283" width="13.7109375" customWidth="1"/>
    <col min="284" max="284" width="4.85546875" customWidth="1"/>
    <col min="285" max="285" width="13.7109375" customWidth="1"/>
    <col min="286" max="287" width="4.85546875" customWidth="1"/>
    <col min="288" max="288" width="12.85546875" customWidth="1"/>
    <col min="289" max="289" width="13.7109375" customWidth="1"/>
    <col min="290" max="295" width="15.42578125" customWidth="1"/>
    <col min="296" max="296" width="8.7109375" bestFit="1" customWidth="1"/>
    <col min="297" max="343" width="15.42578125" customWidth="1"/>
    <col min="344" max="405" width="15.85546875" customWidth="1"/>
    <col min="406" max="412" width="15.42578125" customWidth="1"/>
    <col min="413" max="413" width="11" customWidth="1"/>
    <col min="414" max="414" width="10.85546875" bestFit="1" customWidth="1"/>
    <col min="415" max="568" width="10.85546875" customWidth="1"/>
    <col min="569" max="569" width="30.140625" bestFit="1" customWidth="1"/>
    <col min="570" max="570" width="21.42578125" bestFit="1" customWidth="1"/>
    <col min="571" max="571" width="11.42578125" bestFit="1" customWidth="1"/>
    <col min="572" max="572" width="16.42578125" bestFit="1" customWidth="1"/>
    <col min="573" max="573" width="13.42578125" bestFit="1" customWidth="1"/>
    <col min="574" max="574" width="27" bestFit="1" customWidth="1"/>
    <col min="575" max="575" width="7.140625" bestFit="1" customWidth="1"/>
    <col min="576" max="576" width="11" bestFit="1" customWidth="1"/>
    <col min="577" max="664" width="10.85546875" customWidth="1"/>
    <col min="665" max="666" width="11.5703125" bestFit="1" customWidth="1"/>
    <col min="667" max="761" width="11.5703125" customWidth="1"/>
    <col min="762" max="918" width="13.28515625" customWidth="1"/>
    <col min="919" max="919" width="27.7109375" customWidth="1"/>
    <col min="920" max="920" width="21.28515625" style="111" customWidth="1"/>
    <col min="921" max="921" width="19.140625" bestFit="1" customWidth="1"/>
    <col min="922" max="922" width="17.28515625" customWidth="1"/>
    <col min="923" max="923" width="16.5703125" customWidth="1"/>
    <col min="924" max="924" width="19.7109375" customWidth="1"/>
    <col min="925" max="925" width="14.140625" customWidth="1"/>
    <col min="926" max="926" width="24" customWidth="1"/>
    <col min="927" max="927" width="14.85546875" customWidth="1"/>
    <col min="928" max="928" width="14.5703125" customWidth="1"/>
    <col min="930" max="930" width="83.42578125" customWidth="1"/>
    <col min="932" max="932" width="16.85546875" customWidth="1"/>
    <col min="933" max="935" width="16.85546875" style="50" customWidth="1"/>
    <col min="936" max="936" width="16.42578125" style="50" customWidth="1"/>
    <col min="937" max="937" width="9.140625" customWidth="1"/>
    <col min="939" max="939" width="19.85546875" customWidth="1"/>
  </cols>
  <sheetData>
    <row r="1" spans="1:955" s="4" customFormat="1" ht="27" customHeight="1" x14ac:dyDescent="0.25">
      <c r="A1" s="5" t="s">
        <v>44</v>
      </c>
      <c r="B1" s="5"/>
      <c r="C1" s="5" t="s">
        <v>45</v>
      </c>
      <c r="D1" s="5" t="s">
        <v>95</v>
      </c>
      <c r="E1" s="5" t="s">
        <v>96</v>
      </c>
      <c r="F1" s="11">
        <v>43111</v>
      </c>
      <c r="G1" s="11">
        <v>43231</v>
      </c>
      <c r="H1" s="11">
        <v>43262</v>
      </c>
      <c r="I1" s="11">
        <v>43292</v>
      </c>
      <c r="J1" s="11">
        <v>43323</v>
      </c>
      <c r="K1" s="11">
        <v>43354</v>
      </c>
      <c r="L1" s="11">
        <v>43445</v>
      </c>
      <c r="M1" s="11" t="s">
        <v>97</v>
      </c>
      <c r="N1" s="11" t="s">
        <v>98</v>
      </c>
      <c r="O1" s="11" t="s">
        <v>99</v>
      </c>
      <c r="P1" s="11" t="s">
        <v>100</v>
      </c>
      <c r="Q1" s="11" t="s">
        <v>101</v>
      </c>
      <c r="R1" s="11" t="s">
        <v>102</v>
      </c>
      <c r="S1" s="11">
        <v>43431</v>
      </c>
      <c r="T1" s="11">
        <v>43432</v>
      </c>
      <c r="U1" s="11">
        <v>43433</v>
      </c>
      <c r="V1" s="11">
        <v>43434</v>
      </c>
      <c r="W1" s="11">
        <v>43435</v>
      </c>
      <c r="X1" s="11">
        <v>43436</v>
      </c>
      <c r="Y1" s="11">
        <v>43437</v>
      </c>
      <c r="Z1" s="11">
        <v>43438</v>
      </c>
      <c r="AA1" s="11">
        <v>43439</v>
      </c>
      <c r="AB1" s="11">
        <v>43440</v>
      </c>
      <c r="AC1" s="11">
        <v>43443</v>
      </c>
      <c r="AD1" s="11">
        <v>43444</v>
      </c>
      <c r="AE1" s="11">
        <v>43445</v>
      </c>
      <c r="AF1" s="11">
        <v>43447</v>
      </c>
      <c r="AG1" s="11">
        <v>43451</v>
      </c>
      <c r="AH1" s="11">
        <v>43453</v>
      </c>
      <c r="AI1" s="11">
        <v>43454</v>
      </c>
      <c r="AJ1" s="11">
        <v>43461</v>
      </c>
      <c r="AK1" s="11">
        <v>43462</v>
      </c>
      <c r="AL1" s="11">
        <v>43102</v>
      </c>
      <c r="AM1" s="11">
        <v>43104</v>
      </c>
      <c r="AN1" s="11">
        <v>43472</v>
      </c>
      <c r="AO1" s="11">
        <v>43473</v>
      </c>
      <c r="AP1" s="11">
        <v>43474</v>
      </c>
      <c r="AQ1" s="11">
        <v>43475</v>
      </c>
      <c r="AR1" s="11">
        <v>43476</v>
      </c>
      <c r="AS1" s="11">
        <v>43479</v>
      </c>
      <c r="AT1" s="11">
        <v>43481</v>
      </c>
      <c r="AU1" s="11">
        <v>43483</v>
      </c>
      <c r="AV1" s="11">
        <v>43486</v>
      </c>
      <c r="AW1" s="11">
        <v>43487</v>
      </c>
      <c r="AX1" s="11">
        <v>43489</v>
      </c>
      <c r="AY1" s="11">
        <v>43490</v>
      </c>
      <c r="AZ1" s="11">
        <v>43494</v>
      </c>
      <c r="BA1" s="11">
        <v>43495</v>
      </c>
      <c r="BB1" s="11">
        <v>43496</v>
      </c>
      <c r="BC1" s="11">
        <v>43497</v>
      </c>
      <c r="BD1" s="11">
        <v>43501</v>
      </c>
      <c r="BE1" s="11">
        <v>43502</v>
      </c>
      <c r="BF1" s="11">
        <v>43503</v>
      </c>
      <c r="BG1" s="11">
        <v>43504</v>
      </c>
      <c r="BH1" s="11">
        <v>43506</v>
      </c>
      <c r="BI1" s="11">
        <v>43509</v>
      </c>
      <c r="BJ1" s="11">
        <v>43510</v>
      </c>
      <c r="BK1" s="11">
        <v>43511</v>
      </c>
      <c r="BL1" s="11">
        <v>43514</v>
      </c>
      <c r="BM1" s="11">
        <v>43516</v>
      </c>
      <c r="BN1" s="11">
        <v>43517</v>
      </c>
      <c r="BO1" s="11">
        <v>43518</v>
      </c>
      <c r="BP1" s="11">
        <v>43521</v>
      </c>
      <c r="BQ1" s="11">
        <v>43522</v>
      </c>
      <c r="BR1" s="11">
        <v>43523</v>
      </c>
      <c r="BS1" s="11">
        <v>43524</v>
      </c>
      <c r="BT1" s="11">
        <v>43525</v>
      </c>
      <c r="BU1" s="11">
        <v>43528</v>
      </c>
      <c r="BV1" s="11">
        <v>43529</v>
      </c>
      <c r="BW1" s="11">
        <v>43530</v>
      </c>
      <c r="BX1" s="11">
        <v>43531</v>
      </c>
      <c r="BY1" s="11">
        <v>43532</v>
      </c>
      <c r="BZ1" s="11">
        <v>43535</v>
      </c>
      <c r="CA1" s="11">
        <v>43536</v>
      </c>
      <c r="CB1" s="11">
        <v>43537</v>
      </c>
      <c r="CC1" s="11">
        <v>43538</v>
      </c>
      <c r="CD1" s="11">
        <v>43539</v>
      </c>
      <c r="CE1" s="11">
        <v>43542</v>
      </c>
      <c r="CF1" s="11">
        <v>43545</v>
      </c>
      <c r="CG1" s="11">
        <v>43546</v>
      </c>
      <c r="CH1" s="11">
        <v>43549</v>
      </c>
      <c r="CI1" s="11">
        <v>43550</v>
      </c>
      <c r="CJ1" s="11">
        <v>43551</v>
      </c>
      <c r="CK1" s="11">
        <v>43552</v>
      </c>
      <c r="CL1" s="11">
        <v>43558</v>
      </c>
      <c r="CM1" s="11">
        <v>43560</v>
      </c>
      <c r="CN1" s="11">
        <v>43564</v>
      </c>
      <c r="CO1" s="11">
        <v>43566</v>
      </c>
      <c r="CP1" s="11">
        <v>43577</v>
      </c>
      <c r="CQ1" s="11">
        <v>43579</v>
      </c>
      <c r="CR1" s="11">
        <v>43580</v>
      </c>
      <c r="CS1" s="11">
        <v>43581</v>
      </c>
      <c r="CT1" s="11">
        <v>43584</v>
      </c>
      <c r="CU1" s="11">
        <v>43585</v>
      </c>
      <c r="CV1" s="11">
        <v>43587</v>
      </c>
      <c r="CW1" s="11">
        <v>43606</v>
      </c>
      <c r="CX1" s="11">
        <v>43607</v>
      </c>
      <c r="CY1" s="11">
        <v>43608</v>
      </c>
      <c r="CZ1" s="11">
        <v>43609</v>
      </c>
      <c r="DA1" s="11">
        <v>43612</v>
      </c>
      <c r="DB1" s="11">
        <v>43613</v>
      </c>
      <c r="DC1" s="11">
        <v>43614</v>
      </c>
      <c r="DD1" s="11">
        <v>43615</v>
      </c>
      <c r="DE1" s="11">
        <v>43616</v>
      </c>
      <c r="DF1" s="11">
        <v>43617</v>
      </c>
      <c r="DG1" s="11">
        <v>43620</v>
      </c>
      <c r="DH1" s="11">
        <v>43621</v>
      </c>
      <c r="DI1" s="11">
        <v>43622</v>
      </c>
      <c r="DJ1" s="11">
        <v>43626</v>
      </c>
      <c r="DK1" s="11">
        <v>43627</v>
      </c>
      <c r="DL1" s="11">
        <v>43628</v>
      </c>
      <c r="DM1" s="11">
        <v>43629</v>
      </c>
      <c r="DN1" s="11">
        <v>43630</v>
      </c>
      <c r="DO1" s="11">
        <v>43633</v>
      </c>
      <c r="DP1" s="11">
        <v>43634</v>
      </c>
      <c r="DQ1" s="11">
        <v>43635</v>
      </c>
      <c r="DR1" s="11">
        <v>43636</v>
      </c>
      <c r="DS1" s="11">
        <v>43637</v>
      </c>
      <c r="DT1" s="11">
        <v>43640</v>
      </c>
      <c r="DU1" s="11">
        <v>43641</v>
      </c>
      <c r="DV1" s="11">
        <v>43643</v>
      </c>
      <c r="DW1" s="11">
        <v>43644</v>
      </c>
      <c r="DX1" s="11">
        <v>43647</v>
      </c>
      <c r="DY1" s="11">
        <v>43648</v>
      </c>
      <c r="DZ1" s="11">
        <v>43651</v>
      </c>
      <c r="EA1" s="11">
        <v>43654</v>
      </c>
      <c r="EB1" s="11">
        <v>43655</v>
      </c>
      <c r="EC1" s="11">
        <v>43656</v>
      </c>
      <c r="ED1" s="11">
        <v>43657</v>
      </c>
      <c r="EE1" s="11">
        <v>43658</v>
      </c>
      <c r="EF1" s="11">
        <v>43661</v>
      </c>
      <c r="EG1" s="11">
        <v>43663</v>
      </c>
      <c r="EH1" s="11">
        <v>43664</v>
      </c>
      <c r="EI1" s="11">
        <v>43665</v>
      </c>
      <c r="EJ1" s="11">
        <v>43669</v>
      </c>
      <c r="EK1" s="11">
        <v>43670</v>
      </c>
      <c r="EL1" s="11">
        <v>43671</v>
      </c>
      <c r="EM1" s="11">
        <v>43672</v>
      </c>
      <c r="EN1" s="11">
        <v>43675</v>
      </c>
      <c r="EO1" s="11">
        <v>43676</v>
      </c>
      <c r="EP1" s="11">
        <v>43677</v>
      </c>
      <c r="EQ1" s="11">
        <v>43679</v>
      </c>
      <c r="ER1" s="11">
        <v>43682</v>
      </c>
      <c r="ES1" s="11">
        <v>43684</v>
      </c>
      <c r="ET1" s="11">
        <v>43686</v>
      </c>
      <c r="EU1" s="11">
        <v>43689</v>
      </c>
      <c r="EV1" s="11">
        <v>43690</v>
      </c>
      <c r="EW1" s="11">
        <v>43692</v>
      </c>
      <c r="EX1" s="11">
        <v>43693</v>
      </c>
      <c r="EY1" s="11">
        <v>43700</v>
      </c>
      <c r="EZ1" s="11">
        <v>43726</v>
      </c>
      <c r="FA1" s="11">
        <v>43727</v>
      </c>
      <c r="FB1" s="11">
        <v>43728</v>
      </c>
      <c r="FC1" s="11">
        <v>43729</v>
      </c>
      <c r="FD1" s="11">
        <v>43735</v>
      </c>
      <c r="FE1" s="11">
        <v>43738</v>
      </c>
      <c r="FF1" s="11">
        <v>43739</v>
      </c>
      <c r="FG1" s="11">
        <v>43740</v>
      </c>
      <c r="FH1" s="11">
        <v>43741</v>
      </c>
      <c r="FI1" s="11">
        <v>43742</v>
      </c>
      <c r="FJ1" s="11">
        <v>43745</v>
      </c>
      <c r="FK1" s="11">
        <v>43746</v>
      </c>
      <c r="FL1" s="11">
        <v>43747</v>
      </c>
      <c r="FM1" s="11">
        <v>43748</v>
      </c>
      <c r="FN1" s="11">
        <v>43749</v>
      </c>
      <c r="FO1" s="11">
        <v>43752</v>
      </c>
      <c r="FP1" s="11">
        <v>43753</v>
      </c>
      <c r="FQ1" s="11">
        <v>43755</v>
      </c>
      <c r="FR1" s="11">
        <v>43756</v>
      </c>
      <c r="FS1" s="11">
        <v>43759</v>
      </c>
      <c r="FT1" s="11">
        <v>43760</v>
      </c>
      <c r="FU1" s="11">
        <v>43761</v>
      </c>
      <c r="FV1" s="11">
        <v>43762</v>
      </c>
      <c r="FW1" s="11">
        <v>43766</v>
      </c>
      <c r="FX1" s="11">
        <v>43767</v>
      </c>
      <c r="FY1" s="11">
        <v>43768</v>
      </c>
      <c r="FZ1" s="11">
        <v>43773</v>
      </c>
      <c r="GA1" s="11">
        <v>43775</v>
      </c>
      <c r="GB1" s="11">
        <v>43776</v>
      </c>
      <c r="GC1" s="11">
        <v>43780</v>
      </c>
      <c r="GD1" s="11">
        <v>43782</v>
      </c>
      <c r="GE1" s="11">
        <v>43783</v>
      </c>
      <c r="GF1" s="11">
        <v>43784</v>
      </c>
      <c r="GG1" s="11">
        <v>43787</v>
      </c>
      <c r="GH1" s="11">
        <v>43790</v>
      </c>
      <c r="GI1" s="11">
        <v>43791</v>
      </c>
      <c r="GJ1" s="11">
        <v>43794</v>
      </c>
      <c r="GK1" s="11">
        <v>43795</v>
      </c>
      <c r="GL1" s="11">
        <v>43799</v>
      </c>
      <c r="GM1" s="11">
        <v>43802</v>
      </c>
      <c r="GN1" s="11">
        <v>43803</v>
      </c>
      <c r="GO1" s="11">
        <v>43804</v>
      </c>
      <c r="GP1" s="11">
        <v>43805</v>
      </c>
      <c r="GQ1" s="11">
        <v>43808</v>
      </c>
      <c r="GR1" s="11">
        <v>43809</v>
      </c>
      <c r="GS1" s="11">
        <v>43811</v>
      </c>
      <c r="GT1" s="11">
        <v>43815</v>
      </c>
      <c r="GU1" s="11">
        <v>43816</v>
      </c>
      <c r="GV1" s="11">
        <v>43818</v>
      </c>
      <c r="GW1" s="11">
        <v>43819</v>
      </c>
      <c r="GX1" s="11">
        <v>43822</v>
      </c>
      <c r="GY1" s="11">
        <v>43825</v>
      </c>
      <c r="GZ1" s="11">
        <v>43829</v>
      </c>
      <c r="HA1" s="11">
        <v>43832</v>
      </c>
      <c r="HB1" s="11">
        <v>43833</v>
      </c>
      <c r="HC1" s="11">
        <v>43836</v>
      </c>
      <c r="HD1" s="11">
        <v>43837</v>
      </c>
      <c r="HE1" s="11">
        <v>43838</v>
      </c>
      <c r="HF1" s="11">
        <v>43839</v>
      </c>
      <c r="HG1" s="11">
        <v>43843</v>
      </c>
      <c r="HH1" s="11">
        <v>43847</v>
      </c>
      <c r="HI1" s="11">
        <v>43850</v>
      </c>
      <c r="HJ1" s="11">
        <v>43852</v>
      </c>
      <c r="HK1" s="11">
        <v>43853</v>
      </c>
      <c r="HL1" s="11">
        <v>43857</v>
      </c>
      <c r="HM1" s="11">
        <v>43859</v>
      </c>
      <c r="HN1" s="11">
        <v>43860</v>
      </c>
      <c r="HO1" s="11">
        <v>43864</v>
      </c>
      <c r="HP1" s="11">
        <v>43867</v>
      </c>
      <c r="HQ1" s="11">
        <v>43868</v>
      </c>
      <c r="HR1" s="11">
        <v>43871</v>
      </c>
      <c r="HS1" s="11">
        <v>43872</v>
      </c>
      <c r="HT1" s="11">
        <v>43873</v>
      </c>
      <c r="HU1" s="11">
        <v>43874</v>
      </c>
      <c r="HV1" s="11">
        <v>43875</v>
      </c>
      <c r="HW1" s="11">
        <v>43878</v>
      </c>
      <c r="HX1" s="11">
        <v>43879</v>
      </c>
      <c r="HY1" s="11">
        <v>43880</v>
      </c>
      <c r="HZ1" s="11">
        <v>43881</v>
      </c>
      <c r="IA1" s="11">
        <v>43885</v>
      </c>
      <c r="IB1" s="11">
        <v>43886</v>
      </c>
      <c r="IC1" s="11">
        <v>43887</v>
      </c>
      <c r="ID1" s="11">
        <v>43888</v>
      </c>
      <c r="IE1" s="11">
        <v>43889</v>
      </c>
      <c r="IF1" s="11">
        <v>43892</v>
      </c>
      <c r="IG1" s="11">
        <v>43893</v>
      </c>
      <c r="IH1" s="11">
        <v>43894</v>
      </c>
      <c r="II1" s="11">
        <v>43895</v>
      </c>
      <c r="IJ1" s="11">
        <v>43896</v>
      </c>
      <c r="IK1" s="11">
        <v>43900</v>
      </c>
      <c r="IL1" s="11">
        <v>43901</v>
      </c>
      <c r="IM1" s="11">
        <v>43902</v>
      </c>
      <c r="IN1" s="11">
        <v>43903</v>
      </c>
      <c r="IO1" s="11">
        <v>43907</v>
      </c>
      <c r="IP1" s="11">
        <v>43908</v>
      </c>
      <c r="IQ1" s="11">
        <v>43909</v>
      </c>
      <c r="IR1" s="11">
        <v>43910</v>
      </c>
      <c r="IS1" s="11">
        <v>43913</v>
      </c>
      <c r="IT1" s="11">
        <v>43915</v>
      </c>
      <c r="IU1" s="11">
        <v>43916</v>
      </c>
      <c r="IV1" s="11">
        <v>43920</v>
      </c>
      <c r="IW1" s="11">
        <v>43922</v>
      </c>
      <c r="IX1" s="11">
        <v>43927</v>
      </c>
      <c r="IY1" s="11">
        <v>43930</v>
      </c>
      <c r="IZ1" s="11">
        <v>43936</v>
      </c>
      <c r="JA1" s="11">
        <v>43941</v>
      </c>
      <c r="JB1" s="11">
        <v>43942</v>
      </c>
      <c r="JC1" s="11">
        <v>43943</v>
      </c>
      <c r="JD1" s="11">
        <v>43948</v>
      </c>
      <c r="JE1" s="11">
        <v>43949</v>
      </c>
      <c r="JF1" s="11">
        <v>43950</v>
      </c>
      <c r="JG1" s="11">
        <v>43951</v>
      </c>
      <c r="JH1" s="11">
        <v>43955</v>
      </c>
      <c r="JI1" s="11">
        <v>43956</v>
      </c>
      <c r="JJ1" s="11">
        <v>43957</v>
      </c>
      <c r="JK1" s="11">
        <v>43962</v>
      </c>
      <c r="JL1" s="11">
        <v>43963</v>
      </c>
      <c r="JM1" s="11">
        <v>43964</v>
      </c>
      <c r="JN1" s="11">
        <v>43965</v>
      </c>
      <c r="JO1" s="11">
        <v>43966</v>
      </c>
      <c r="JP1" s="11">
        <v>43969</v>
      </c>
      <c r="JQ1" s="11">
        <v>43970</v>
      </c>
      <c r="JR1" s="11">
        <v>43971</v>
      </c>
      <c r="JS1" s="11">
        <v>43972</v>
      </c>
      <c r="JT1" s="11">
        <v>43973</v>
      </c>
      <c r="JU1" s="11">
        <v>43976</v>
      </c>
      <c r="JV1" s="11">
        <v>43977</v>
      </c>
      <c r="JW1" s="101">
        <v>43978</v>
      </c>
      <c r="JX1" s="474" t="s">
        <v>103</v>
      </c>
      <c r="JY1" s="105" t="s">
        <v>44</v>
      </c>
      <c r="JZ1" s="46"/>
      <c r="KA1" s="44"/>
      <c r="KB1" s="83" t="s">
        <v>44</v>
      </c>
      <c r="KC1" s="11">
        <v>43979</v>
      </c>
      <c r="KD1" s="11">
        <v>43980</v>
      </c>
      <c r="KE1" s="11">
        <v>43983</v>
      </c>
      <c r="KF1" s="11">
        <v>43984</v>
      </c>
      <c r="KG1" s="11">
        <v>43985</v>
      </c>
      <c r="KH1" s="11">
        <v>43986</v>
      </c>
      <c r="KI1" s="11">
        <v>43990</v>
      </c>
      <c r="KJ1" s="11">
        <v>43991</v>
      </c>
      <c r="KK1" s="121"/>
      <c r="KL1" s="83" t="s">
        <v>44</v>
      </c>
      <c r="KM1" s="11">
        <v>43992</v>
      </c>
      <c r="KN1" s="11">
        <v>43993</v>
      </c>
      <c r="KO1" s="11">
        <v>43994</v>
      </c>
      <c r="KP1" s="11">
        <v>43997</v>
      </c>
      <c r="KQ1" s="11">
        <v>43998</v>
      </c>
      <c r="KR1" s="11">
        <v>43999</v>
      </c>
      <c r="KS1" s="11">
        <v>44000</v>
      </c>
      <c r="KT1" s="11">
        <v>44001</v>
      </c>
      <c r="KU1" s="11">
        <v>44004</v>
      </c>
      <c r="KV1" s="11">
        <v>44005</v>
      </c>
      <c r="KW1" s="11">
        <v>44006</v>
      </c>
      <c r="KX1" s="11">
        <v>44007</v>
      </c>
      <c r="KY1" s="11">
        <v>44011</v>
      </c>
      <c r="KZ1" s="11">
        <v>44012</v>
      </c>
      <c r="LA1" s="11">
        <v>44013</v>
      </c>
      <c r="LB1" s="11">
        <v>44014</v>
      </c>
      <c r="LC1" s="11">
        <v>44015</v>
      </c>
      <c r="LD1" s="11">
        <v>44018</v>
      </c>
      <c r="LE1" s="11">
        <v>44019</v>
      </c>
      <c r="LF1" s="11">
        <v>44020</v>
      </c>
      <c r="LG1" s="11">
        <v>44021</v>
      </c>
      <c r="LH1" s="11">
        <v>44022</v>
      </c>
      <c r="LI1" s="11">
        <v>44025</v>
      </c>
      <c r="LJ1" s="11">
        <v>44026</v>
      </c>
      <c r="LK1" s="11">
        <v>44027</v>
      </c>
      <c r="LL1" s="11">
        <v>44028</v>
      </c>
      <c r="LM1" s="11">
        <v>44029</v>
      </c>
      <c r="LN1" s="11">
        <v>44032</v>
      </c>
      <c r="LO1" s="11">
        <v>44033</v>
      </c>
      <c r="LP1" s="11">
        <v>44034</v>
      </c>
      <c r="LQ1" s="11">
        <v>44035</v>
      </c>
      <c r="LR1" s="11">
        <v>44036</v>
      </c>
      <c r="LS1" s="11">
        <v>44039</v>
      </c>
      <c r="LT1" s="11">
        <v>44040</v>
      </c>
      <c r="LU1" s="11">
        <v>44041</v>
      </c>
      <c r="LV1" s="11">
        <v>44047</v>
      </c>
      <c r="LW1" s="11">
        <v>44048</v>
      </c>
      <c r="LX1" s="11">
        <v>44050</v>
      </c>
      <c r="LY1" s="11">
        <v>44053</v>
      </c>
      <c r="LZ1" s="11">
        <v>44054</v>
      </c>
      <c r="MA1" s="11">
        <v>44055</v>
      </c>
      <c r="MB1" s="11">
        <v>44056</v>
      </c>
      <c r="MC1" s="11">
        <v>44057</v>
      </c>
      <c r="MD1" s="11">
        <v>44060</v>
      </c>
      <c r="ME1" s="11">
        <v>44061</v>
      </c>
      <c r="MF1" s="11">
        <v>44062</v>
      </c>
      <c r="MG1" s="11">
        <v>44063</v>
      </c>
      <c r="MH1" s="11">
        <v>44064</v>
      </c>
      <c r="MI1" s="11">
        <v>44067</v>
      </c>
      <c r="MJ1" s="11">
        <v>44068</v>
      </c>
      <c r="MK1" s="11">
        <v>44069</v>
      </c>
      <c r="ML1" s="11">
        <v>44071</v>
      </c>
      <c r="MM1" s="11">
        <v>44074</v>
      </c>
      <c r="MN1" s="11">
        <v>44076</v>
      </c>
      <c r="MO1" s="11">
        <v>44077</v>
      </c>
      <c r="MP1" s="11">
        <v>44078</v>
      </c>
      <c r="MQ1" s="11">
        <v>44081</v>
      </c>
      <c r="MR1" s="11">
        <v>44082</v>
      </c>
      <c r="MS1" s="11">
        <v>44084</v>
      </c>
      <c r="MT1" s="11">
        <v>44085</v>
      </c>
      <c r="MU1" s="11">
        <v>44088</v>
      </c>
      <c r="MV1" s="11">
        <v>44089</v>
      </c>
      <c r="MW1" s="11">
        <v>44090</v>
      </c>
      <c r="MX1" s="11">
        <v>44091</v>
      </c>
      <c r="MY1" s="11">
        <v>44092</v>
      </c>
      <c r="MZ1" s="11">
        <v>44095</v>
      </c>
      <c r="NA1" s="11">
        <v>44096</v>
      </c>
      <c r="NB1" s="11">
        <v>44097</v>
      </c>
      <c r="NC1" s="11">
        <v>44098</v>
      </c>
      <c r="ND1" s="11">
        <v>44099</v>
      </c>
      <c r="NE1" s="11">
        <v>44102</v>
      </c>
      <c r="NF1" s="11">
        <v>44103</v>
      </c>
      <c r="NG1" s="11">
        <v>44104</v>
      </c>
      <c r="NH1" s="11">
        <v>44106</v>
      </c>
      <c r="NI1" s="11">
        <v>44109</v>
      </c>
      <c r="NJ1" s="11">
        <v>44110</v>
      </c>
      <c r="NK1" s="11">
        <v>44111</v>
      </c>
      <c r="NL1" s="11">
        <v>44112</v>
      </c>
      <c r="NM1" s="11">
        <v>44113</v>
      </c>
      <c r="NN1" s="11">
        <v>44116</v>
      </c>
      <c r="NO1" s="11">
        <v>44117</v>
      </c>
      <c r="NP1" s="11">
        <v>44118</v>
      </c>
      <c r="NQ1" s="11">
        <v>44119</v>
      </c>
      <c r="NR1" s="11">
        <v>44120</v>
      </c>
      <c r="NS1" s="11">
        <v>44123</v>
      </c>
      <c r="NT1" s="11">
        <v>44124</v>
      </c>
      <c r="NU1" s="11">
        <v>44125</v>
      </c>
      <c r="NV1" s="11">
        <v>44126</v>
      </c>
      <c r="NW1" s="11">
        <v>44127</v>
      </c>
      <c r="NX1" s="11">
        <v>44130</v>
      </c>
      <c r="NY1" s="11">
        <v>44131</v>
      </c>
      <c r="NZ1" s="11">
        <v>44132</v>
      </c>
      <c r="OA1" s="11">
        <v>44133</v>
      </c>
      <c r="OB1" s="11">
        <v>44137</v>
      </c>
      <c r="OC1" s="11">
        <v>44138</v>
      </c>
      <c r="OD1" s="11">
        <v>44139</v>
      </c>
      <c r="OE1" s="11">
        <v>44140</v>
      </c>
      <c r="OF1" s="11">
        <v>44141</v>
      </c>
      <c r="OG1" s="11">
        <v>44144</v>
      </c>
      <c r="OH1" s="11">
        <v>44145</v>
      </c>
      <c r="OI1" s="11">
        <v>44146</v>
      </c>
      <c r="OJ1" s="11">
        <v>44147</v>
      </c>
      <c r="OK1" s="11">
        <v>44153</v>
      </c>
      <c r="OL1" s="11">
        <v>44154</v>
      </c>
      <c r="OM1" s="11">
        <v>44155</v>
      </c>
      <c r="ON1" s="11">
        <v>44158</v>
      </c>
      <c r="OO1" s="11">
        <v>44159</v>
      </c>
      <c r="OP1" s="11">
        <v>44160</v>
      </c>
      <c r="OQ1" s="11">
        <v>44161</v>
      </c>
      <c r="OR1" s="11">
        <v>44162</v>
      </c>
      <c r="OS1" s="11">
        <v>44165</v>
      </c>
      <c r="OT1" s="11">
        <v>44166</v>
      </c>
      <c r="OU1" s="11">
        <v>44167</v>
      </c>
      <c r="OV1" s="11">
        <v>44168</v>
      </c>
      <c r="OW1" s="11">
        <v>44169</v>
      </c>
      <c r="OX1" s="11">
        <v>44172</v>
      </c>
      <c r="OY1" s="11">
        <v>44173</v>
      </c>
      <c r="OZ1" s="11">
        <v>44174</v>
      </c>
      <c r="PA1" s="11">
        <v>44175</v>
      </c>
      <c r="PB1" s="11">
        <v>44176</v>
      </c>
      <c r="PC1" s="11">
        <v>44179</v>
      </c>
      <c r="PD1" s="11">
        <v>44180</v>
      </c>
      <c r="PE1" s="11">
        <v>44181</v>
      </c>
      <c r="PF1" s="11">
        <v>44182</v>
      </c>
      <c r="PG1" s="11">
        <v>44183</v>
      </c>
      <c r="PH1" s="11">
        <v>44186</v>
      </c>
      <c r="PI1" s="11">
        <v>44187</v>
      </c>
      <c r="PJ1" s="11">
        <v>44188</v>
      </c>
      <c r="PK1" s="11">
        <v>44189</v>
      </c>
      <c r="PL1" s="11">
        <v>44195</v>
      </c>
      <c r="PM1" s="11">
        <v>44196</v>
      </c>
      <c r="PN1" s="11">
        <v>44197</v>
      </c>
      <c r="PO1" s="11">
        <v>44200</v>
      </c>
      <c r="PP1" s="11">
        <v>44201</v>
      </c>
      <c r="PQ1" s="11">
        <v>44202</v>
      </c>
      <c r="PR1" s="11">
        <v>44203</v>
      </c>
      <c r="PS1" s="11">
        <v>44204</v>
      </c>
      <c r="PT1" s="11">
        <v>44207</v>
      </c>
      <c r="PU1" s="11">
        <v>44208</v>
      </c>
      <c r="PV1" s="11">
        <v>44209</v>
      </c>
      <c r="PW1" s="11">
        <v>44211</v>
      </c>
      <c r="PX1" s="11">
        <v>44214</v>
      </c>
      <c r="PY1" s="11">
        <v>44215</v>
      </c>
      <c r="PZ1" s="11">
        <v>44216</v>
      </c>
      <c r="QA1" s="11">
        <v>44217</v>
      </c>
      <c r="QB1" s="11">
        <v>44218</v>
      </c>
      <c r="QC1" s="11">
        <v>44221</v>
      </c>
      <c r="QD1" s="11">
        <v>44222</v>
      </c>
      <c r="QE1" s="11">
        <v>44223</v>
      </c>
      <c r="QF1" s="11">
        <v>44225</v>
      </c>
      <c r="QG1" s="11">
        <v>44228</v>
      </c>
      <c r="QH1" s="11">
        <v>44229</v>
      </c>
      <c r="QI1" s="11">
        <v>44230</v>
      </c>
      <c r="QJ1" s="11">
        <v>44232</v>
      </c>
      <c r="QK1" s="11">
        <v>44235</v>
      </c>
      <c r="QL1" s="11">
        <v>44236</v>
      </c>
      <c r="QM1" s="11">
        <v>44237</v>
      </c>
      <c r="QN1" s="11">
        <v>44238</v>
      </c>
      <c r="QO1" s="11">
        <v>44239</v>
      </c>
      <c r="QP1" s="11">
        <v>44242</v>
      </c>
      <c r="QQ1" s="11">
        <v>44243</v>
      </c>
      <c r="QR1" s="11">
        <v>44244</v>
      </c>
      <c r="QS1" s="11">
        <v>44245</v>
      </c>
      <c r="QT1" s="11">
        <v>44246</v>
      </c>
      <c r="QU1" s="11">
        <v>44249</v>
      </c>
      <c r="QV1" s="11">
        <v>44250</v>
      </c>
      <c r="QW1" s="11">
        <v>44251</v>
      </c>
      <c r="QX1" s="11">
        <v>44252</v>
      </c>
      <c r="QY1" s="11">
        <v>44256</v>
      </c>
      <c r="QZ1" s="11">
        <v>44257</v>
      </c>
      <c r="RA1" s="11">
        <v>44258</v>
      </c>
      <c r="RB1" s="11">
        <v>44259</v>
      </c>
      <c r="RC1" s="11">
        <v>44260</v>
      </c>
      <c r="RD1" s="11">
        <v>44263</v>
      </c>
      <c r="RE1" s="11">
        <v>44264</v>
      </c>
      <c r="RF1" s="11">
        <v>44265</v>
      </c>
      <c r="RG1" s="11">
        <v>44266</v>
      </c>
      <c r="RH1" s="11">
        <v>44267</v>
      </c>
      <c r="RI1" s="11">
        <v>44270</v>
      </c>
      <c r="RJ1" s="11">
        <v>44271</v>
      </c>
      <c r="RK1" s="11">
        <v>44272</v>
      </c>
      <c r="RL1" s="11">
        <v>44273</v>
      </c>
      <c r="RM1" s="11">
        <v>44274</v>
      </c>
      <c r="RN1" s="11">
        <v>44277</v>
      </c>
      <c r="RO1" s="11">
        <v>44278</v>
      </c>
      <c r="RP1" s="11">
        <v>44279</v>
      </c>
      <c r="RQ1" s="11">
        <v>44280</v>
      </c>
      <c r="RR1" s="11">
        <v>44281</v>
      </c>
      <c r="RS1" s="11">
        <v>44284</v>
      </c>
      <c r="RT1" s="11">
        <v>44285</v>
      </c>
      <c r="RU1" s="11">
        <v>44286</v>
      </c>
      <c r="RV1" s="11">
        <v>44287</v>
      </c>
      <c r="RW1" s="11">
        <v>44288</v>
      </c>
      <c r="RX1" s="11">
        <v>44291</v>
      </c>
      <c r="RY1" s="11">
        <v>44292</v>
      </c>
      <c r="RZ1" s="11">
        <v>44293</v>
      </c>
      <c r="SA1" s="11">
        <v>44294</v>
      </c>
      <c r="SB1" s="11">
        <v>44295</v>
      </c>
      <c r="SC1" s="11">
        <v>44301</v>
      </c>
      <c r="SD1" s="11">
        <v>44302</v>
      </c>
      <c r="SE1" s="11">
        <v>44305</v>
      </c>
      <c r="SF1" s="11">
        <v>44306</v>
      </c>
      <c r="SG1" s="11">
        <v>44307</v>
      </c>
      <c r="SH1" s="11">
        <v>44308</v>
      </c>
      <c r="SI1" s="11">
        <v>44309</v>
      </c>
      <c r="SJ1" s="11">
        <v>44313</v>
      </c>
      <c r="SK1" s="11">
        <v>44314</v>
      </c>
      <c r="SL1" s="11">
        <v>44315</v>
      </c>
      <c r="SM1" s="11">
        <v>44316</v>
      </c>
      <c r="SN1" s="11">
        <v>44319</v>
      </c>
      <c r="SO1" s="11">
        <v>44320</v>
      </c>
      <c r="SP1" s="11">
        <v>44321</v>
      </c>
      <c r="SQ1" s="11">
        <v>44322</v>
      </c>
      <c r="SR1" s="11">
        <v>44323</v>
      </c>
      <c r="SS1" s="11">
        <v>44326</v>
      </c>
      <c r="ST1" s="11">
        <v>44327</v>
      </c>
      <c r="SU1" s="11">
        <v>44328</v>
      </c>
      <c r="SV1" s="11">
        <v>44329</v>
      </c>
      <c r="SW1" s="11">
        <v>44330</v>
      </c>
      <c r="SX1" s="11">
        <v>44333</v>
      </c>
      <c r="SY1" s="11">
        <v>44334</v>
      </c>
      <c r="SZ1" s="11">
        <v>44335</v>
      </c>
      <c r="TA1" s="11">
        <v>44336</v>
      </c>
      <c r="TB1" s="11">
        <v>44337</v>
      </c>
      <c r="TC1" s="11">
        <v>44340</v>
      </c>
      <c r="TD1" s="11">
        <v>44341</v>
      </c>
      <c r="TE1" s="11">
        <v>44344</v>
      </c>
      <c r="TF1" s="11">
        <v>44347</v>
      </c>
      <c r="TG1" s="11">
        <v>44348</v>
      </c>
      <c r="TH1" s="11">
        <v>44349</v>
      </c>
      <c r="TI1" s="11">
        <v>44350</v>
      </c>
      <c r="TJ1" s="11">
        <v>44351</v>
      </c>
      <c r="TK1" s="11">
        <v>44352</v>
      </c>
      <c r="TL1" s="11">
        <v>44354</v>
      </c>
      <c r="TM1" s="11">
        <v>44355</v>
      </c>
      <c r="TN1" s="11">
        <v>44356</v>
      </c>
      <c r="TO1" s="11">
        <v>44357</v>
      </c>
      <c r="TP1" s="11">
        <v>44358</v>
      </c>
      <c r="TQ1" s="11">
        <v>44361</v>
      </c>
      <c r="TR1" s="11">
        <v>44362</v>
      </c>
      <c r="TS1" s="11">
        <v>44363</v>
      </c>
      <c r="TT1" s="11">
        <v>44364</v>
      </c>
      <c r="TU1" s="11">
        <v>44365</v>
      </c>
      <c r="TV1" s="11">
        <v>44368</v>
      </c>
      <c r="TW1" s="11">
        <v>44369</v>
      </c>
      <c r="TX1" s="11">
        <v>44370</v>
      </c>
      <c r="TY1" s="11">
        <v>44372</v>
      </c>
      <c r="TZ1" s="11">
        <v>44375</v>
      </c>
      <c r="UA1" s="11">
        <v>44376</v>
      </c>
      <c r="UB1" s="11">
        <v>44377</v>
      </c>
      <c r="UC1" s="11">
        <v>44378</v>
      </c>
      <c r="UD1" s="11">
        <v>44379</v>
      </c>
      <c r="UE1" s="11">
        <v>44382</v>
      </c>
      <c r="UF1" s="11">
        <v>44383</v>
      </c>
      <c r="UG1" s="11">
        <v>44384</v>
      </c>
      <c r="UH1" s="11">
        <v>44385</v>
      </c>
      <c r="UI1" s="11">
        <v>44386</v>
      </c>
      <c r="UJ1" s="11">
        <v>44389</v>
      </c>
      <c r="UK1" s="11">
        <v>44390</v>
      </c>
      <c r="UL1" s="11">
        <v>44391</v>
      </c>
      <c r="UM1" s="11">
        <v>44392</v>
      </c>
      <c r="UN1" s="11">
        <v>44393</v>
      </c>
      <c r="UO1" s="11">
        <v>44396</v>
      </c>
      <c r="UP1" s="11">
        <v>44397</v>
      </c>
      <c r="UQ1" s="11">
        <v>44398</v>
      </c>
      <c r="UR1" s="11">
        <v>44399</v>
      </c>
      <c r="US1" s="11">
        <v>44403</v>
      </c>
      <c r="UT1" s="11">
        <v>44404</v>
      </c>
      <c r="UU1" s="11">
        <v>44405</v>
      </c>
      <c r="UV1" s="11">
        <v>44406</v>
      </c>
      <c r="UW1" s="11">
        <v>44407</v>
      </c>
      <c r="UX1" s="11">
        <v>44410</v>
      </c>
      <c r="UY1" s="11">
        <v>44411</v>
      </c>
      <c r="UZ1" s="11">
        <v>44412</v>
      </c>
      <c r="VA1" s="11">
        <v>44413</v>
      </c>
      <c r="VB1" s="11">
        <v>44414</v>
      </c>
      <c r="VC1" s="11">
        <v>44417</v>
      </c>
      <c r="VD1" s="11">
        <v>44418</v>
      </c>
      <c r="VE1" s="11">
        <v>44420</v>
      </c>
      <c r="VF1" s="11">
        <v>44421</v>
      </c>
      <c r="VG1" s="11">
        <v>44424</v>
      </c>
      <c r="VH1" s="11">
        <v>44425</v>
      </c>
      <c r="VI1" s="11">
        <v>44426</v>
      </c>
      <c r="VJ1" s="11">
        <v>44427</v>
      </c>
      <c r="VK1" s="11">
        <v>44428</v>
      </c>
      <c r="VL1" s="11">
        <v>44431</v>
      </c>
      <c r="VM1" s="11">
        <v>44432</v>
      </c>
      <c r="VN1" s="11">
        <v>44433</v>
      </c>
      <c r="VO1" s="11">
        <v>44434</v>
      </c>
      <c r="VP1" s="11">
        <v>44435</v>
      </c>
      <c r="VQ1" s="11">
        <v>44438</v>
      </c>
      <c r="VR1" s="11">
        <v>44439</v>
      </c>
      <c r="VS1" s="11">
        <v>44440</v>
      </c>
      <c r="VT1" s="11">
        <v>44441</v>
      </c>
      <c r="VU1" s="11">
        <v>44445</v>
      </c>
      <c r="VV1" s="11">
        <v>44446</v>
      </c>
      <c r="VW1" s="11">
        <v>44447</v>
      </c>
      <c r="VX1" s="11">
        <v>44448</v>
      </c>
      <c r="VY1" s="11">
        <v>44449</v>
      </c>
      <c r="VZ1" s="11">
        <v>44452</v>
      </c>
      <c r="WA1" s="11">
        <v>44453</v>
      </c>
      <c r="WB1" s="11">
        <v>44454</v>
      </c>
      <c r="WC1" s="11">
        <v>44455</v>
      </c>
      <c r="WD1" s="11">
        <v>44456</v>
      </c>
      <c r="WE1" s="11">
        <v>44460</v>
      </c>
      <c r="WF1" s="11">
        <v>44461</v>
      </c>
      <c r="WG1" s="11">
        <v>44462</v>
      </c>
      <c r="WH1" s="11">
        <v>44463</v>
      </c>
      <c r="WI1" s="11">
        <v>44466</v>
      </c>
      <c r="WJ1" s="11">
        <v>44467</v>
      </c>
      <c r="WK1" s="11">
        <v>44468</v>
      </c>
      <c r="WL1" s="11">
        <v>44469</v>
      </c>
      <c r="WM1" s="11">
        <v>44470</v>
      </c>
      <c r="WN1" s="11">
        <v>44473</v>
      </c>
      <c r="WO1" s="11">
        <v>44474</v>
      </c>
      <c r="WP1" s="11">
        <v>44475</v>
      </c>
      <c r="WQ1" s="11">
        <v>44476</v>
      </c>
      <c r="WR1" s="11">
        <v>44477</v>
      </c>
      <c r="WS1" s="11">
        <v>44480</v>
      </c>
      <c r="WT1" s="11">
        <v>44481</v>
      </c>
      <c r="WU1" s="11">
        <v>44482</v>
      </c>
      <c r="WV1" s="11">
        <v>44483</v>
      </c>
      <c r="WW1" s="11">
        <v>44484</v>
      </c>
      <c r="WX1" s="11">
        <v>44487</v>
      </c>
      <c r="WY1" s="11">
        <v>44490</v>
      </c>
      <c r="WZ1" s="11">
        <v>44491</v>
      </c>
      <c r="XA1" s="11">
        <v>44494</v>
      </c>
      <c r="XB1" s="11">
        <v>44495</v>
      </c>
      <c r="XC1" s="11">
        <v>44496</v>
      </c>
      <c r="XD1" s="11">
        <v>44497</v>
      </c>
      <c r="XE1" s="11">
        <v>44498</v>
      </c>
      <c r="XF1" s="11">
        <v>44501</v>
      </c>
      <c r="XG1" s="11">
        <v>44502</v>
      </c>
      <c r="XH1" s="11">
        <v>44503</v>
      </c>
      <c r="XI1" s="11">
        <v>44504</v>
      </c>
      <c r="XJ1" s="11">
        <v>44505</v>
      </c>
      <c r="XK1" s="11">
        <v>44508</v>
      </c>
      <c r="XL1" s="11">
        <v>44509</v>
      </c>
      <c r="XM1" s="11">
        <v>44510</v>
      </c>
      <c r="XN1" s="11">
        <v>44511</v>
      </c>
      <c r="XO1" s="11">
        <v>44512</v>
      </c>
      <c r="XP1" s="11">
        <v>44515</v>
      </c>
      <c r="XQ1" s="11">
        <v>44516</v>
      </c>
      <c r="XR1" s="11">
        <v>44517</v>
      </c>
      <c r="XS1" s="11">
        <v>44519</v>
      </c>
      <c r="XT1" s="11">
        <v>44522</v>
      </c>
      <c r="XU1" s="11">
        <v>44523</v>
      </c>
      <c r="XV1" s="11">
        <v>44524</v>
      </c>
      <c r="XW1" s="11">
        <v>44525</v>
      </c>
      <c r="XX1" s="11">
        <v>44526</v>
      </c>
      <c r="XY1" s="11">
        <v>44529</v>
      </c>
      <c r="XZ1" s="11">
        <v>44530</v>
      </c>
      <c r="YA1" s="11">
        <v>44531</v>
      </c>
      <c r="YB1" s="11">
        <v>44532</v>
      </c>
      <c r="YC1" s="11">
        <v>44533</v>
      </c>
      <c r="YD1" s="11">
        <v>44536</v>
      </c>
      <c r="YE1" s="11">
        <v>44537</v>
      </c>
      <c r="YF1" s="11">
        <v>44538</v>
      </c>
      <c r="YG1" s="11">
        <v>44539</v>
      </c>
      <c r="YH1" s="11">
        <v>44540</v>
      </c>
      <c r="YI1" s="11">
        <v>44543</v>
      </c>
      <c r="YJ1" s="11">
        <v>44544</v>
      </c>
      <c r="YK1" s="11">
        <v>44545</v>
      </c>
      <c r="YL1" s="11">
        <v>44546</v>
      </c>
      <c r="YM1" s="11">
        <v>44547</v>
      </c>
      <c r="YN1" s="11">
        <v>44550</v>
      </c>
      <c r="YO1" s="11">
        <v>44552</v>
      </c>
      <c r="YP1" s="11">
        <v>44553</v>
      </c>
      <c r="YQ1" s="11">
        <v>44554</v>
      </c>
      <c r="YR1" s="11">
        <v>44558</v>
      </c>
      <c r="YS1" s="11">
        <v>44559</v>
      </c>
      <c r="YT1" s="11">
        <v>44560</v>
      </c>
      <c r="YU1" s="11">
        <v>44561</v>
      </c>
      <c r="YV1" s="11">
        <v>44564</v>
      </c>
      <c r="YW1" s="11">
        <v>44565</v>
      </c>
      <c r="YX1" s="11">
        <v>44566</v>
      </c>
      <c r="YY1" s="11">
        <v>44567</v>
      </c>
      <c r="YZ1" s="11">
        <v>44568</v>
      </c>
      <c r="ZA1" s="11">
        <v>44571</v>
      </c>
      <c r="ZB1" s="11">
        <v>44572</v>
      </c>
      <c r="ZC1" s="11">
        <v>44573</v>
      </c>
      <c r="ZD1" s="11">
        <v>44574</v>
      </c>
      <c r="ZE1" s="11">
        <v>44578</v>
      </c>
      <c r="ZF1" s="11">
        <v>44579</v>
      </c>
      <c r="ZG1" s="11">
        <v>44580</v>
      </c>
      <c r="ZH1" s="11">
        <v>44581</v>
      </c>
      <c r="ZI1" s="11">
        <v>44582</v>
      </c>
      <c r="ZJ1" s="11">
        <v>44585</v>
      </c>
      <c r="ZK1" s="11">
        <v>44586</v>
      </c>
      <c r="ZL1" s="11">
        <v>44587</v>
      </c>
      <c r="ZM1" s="11">
        <v>44588</v>
      </c>
      <c r="ZN1" s="11">
        <v>44589</v>
      </c>
      <c r="ZO1" s="11">
        <v>44592</v>
      </c>
      <c r="ZP1" s="11">
        <v>44593</v>
      </c>
      <c r="ZQ1" s="11">
        <v>44594</v>
      </c>
      <c r="ZR1" s="11">
        <v>44595</v>
      </c>
      <c r="ZS1" s="11">
        <v>44599</v>
      </c>
      <c r="ZT1" s="11">
        <v>44600</v>
      </c>
      <c r="ZU1" s="11">
        <v>44601</v>
      </c>
      <c r="ZV1" s="11">
        <v>44602</v>
      </c>
      <c r="ZW1" s="11">
        <v>44603</v>
      </c>
      <c r="ZX1" s="11">
        <v>44607</v>
      </c>
      <c r="ZY1" s="11">
        <v>44609</v>
      </c>
      <c r="ZZ1" s="11">
        <v>44610</v>
      </c>
      <c r="AAA1" s="11">
        <v>44613</v>
      </c>
      <c r="AAB1" s="11">
        <v>44614</v>
      </c>
      <c r="AAC1" s="11">
        <v>44615</v>
      </c>
      <c r="AAD1" s="11">
        <v>44616</v>
      </c>
      <c r="AAE1" s="11">
        <v>44617</v>
      </c>
      <c r="AAF1" s="11">
        <v>44620</v>
      </c>
      <c r="AAG1" s="11">
        <v>44621</v>
      </c>
      <c r="AAH1" s="11">
        <v>44622</v>
      </c>
      <c r="AAI1" s="11">
        <v>44623</v>
      </c>
      <c r="AAJ1" s="11">
        <v>44624</v>
      </c>
      <c r="AAK1" s="11">
        <v>44627</v>
      </c>
      <c r="AAL1" s="11">
        <v>44628</v>
      </c>
      <c r="AAM1" s="11">
        <v>44629</v>
      </c>
      <c r="AAN1" s="11">
        <v>44630</v>
      </c>
      <c r="AAO1" s="11">
        <v>44631</v>
      </c>
      <c r="AAP1" s="11">
        <v>44634</v>
      </c>
      <c r="AAQ1" s="11">
        <v>44635</v>
      </c>
      <c r="AAR1" s="11">
        <v>44636</v>
      </c>
      <c r="AAS1" s="11">
        <v>44638</v>
      </c>
      <c r="AAT1" s="11">
        <v>44641</v>
      </c>
      <c r="AAU1" s="11">
        <v>44642</v>
      </c>
      <c r="AAV1" s="11">
        <v>44643</v>
      </c>
      <c r="AAW1" s="11">
        <v>44644</v>
      </c>
      <c r="AAX1" s="11">
        <v>44645</v>
      </c>
      <c r="AAY1" s="11">
        <v>44648</v>
      </c>
      <c r="AAZ1" s="11">
        <v>44649</v>
      </c>
      <c r="ABA1" s="11">
        <v>44650</v>
      </c>
      <c r="ABB1" s="11">
        <v>44651</v>
      </c>
      <c r="ABC1" s="11">
        <v>44652</v>
      </c>
      <c r="ABD1" s="11">
        <v>44655</v>
      </c>
      <c r="ABE1" s="11">
        <v>44656</v>
      </c>
      <c r="ABF1" s="11">
        <v>44657</v>
      </c>
      <c r="ABG1" s="11">
        <v>44658</v>
      </c>
      <c r="ABH1" s="11">
        <v>44659</v>
      </c>
      <c r="ABI1" s="11">
        <v>44666</v>
      </c>
      <c r="ABJ1" s="11">
        <v>44669</v>
      </c>
      <c r="ABK1" s="11">
        <v>44670</v>
      </c>
      <c r="ABL1" s="11">
        <v>44671</v>
      </c>
      <c r="ABM1" s="11">
        <v>44672</v>
      </c>
      <c r="ABN1" s="11">
        <v>44673</v>
      </c>
      <c r="ABO1" s="11">
        <v>44676</v>
      </c>
      <c r="ABP1" s="11">
        <v>44677</v>
      </c>
      <c r="ABQ1" s="11">
        <v>44678</v>
      </c>
      <c r="ABR1" s="11">
        <v>44679</v>
      </c>
      <c r="ABS1" s="11">
        <v>44680</v>
      </c>
      <c r="ABT1" s="11">
        <v>44683</v>
      </c>
      <c r="ABU1" s="11">
        <v>44684</v>
      </c>
      <c r="ABV1" s="11">
        <v>44685</v>
      </c>
      <c r="ABW1" s="11">
        <v>44686</v>
      </c>
      <c r="ABX1" s="11">
        <v>44687</v>
      </c>
      <c r="ABY1" s="11">
        <v>44690</v>
      </c>
      <c r="ABZ1" s="11">
        <v>44691</v>
      </c>
      <c r="ACA1" s="11">
        <v>44692</v>
      </c>
      <c r="ACB1" s="11">
        <v>44693</v>
      </c>
      <c r="ACC1" s="11">
        <v>44694</v>
      </c>
      <c r="ACD1" s="11">
        <v>44698</v>
      </c>
      <c r="ACE1" s="11">
        <v>44699</v>
      </c>
      <c r="ACF1" s="11">
        <v>44701</v>
      </c>
      <c r="ACG1" s="11">
        <v>44704</v>
      </c>
      <c r="ACH1" s="313">
        <v>44705</v>
      </c>
      <c r="ACI1" s="313">
        <v>44706</v>
      </c>
      <c r="ACJ1" s="313">
        <v>44707</v>
      </c>
      <c r="ACK1" s="313">
        <v>44708</v>
      </c>
      <c r="ACL1" s="313">
        <v>44711</v>
      </c>
      <c r="ACM1" s="313">
        <v>44712</v>
      </c>
      <c r="ACN1" s="313">
        <v>44713</v>
      </c>
      <c r="ACO1" s="313">
        <v>44714</v>
      </c>
      <c r="ACP1" s="313">
        <v>44715</v>
      </c>
      <c r="ACQ1" s="313">
        <v>44718</v>
      </c>
      <c r="ACR1" s="313">
        <v>44719</v>
      </c>
      <c r="ACS1" s="313">
        <v>44720</v>
      </c>
      <c r="ACT1" s="313">
        <v>44721</v>
      </c>
      <c r="ACU1" s="313">
        <v>44722</v>
      </c>
      <c r="ACV1" s="313">
        <v>44725</v>
      </c>
      <c r="ACW1" s="313">
        <v>44727</v>
      </c>
      <c r="ACX1" s="313">
        <v>44728</v>
      </c>
      <c r="ACY1" s="313">
        <v>44729</v>
      </c>
      <c r="ACZ1" s="313">
        <v>44732</v>
      </c>
      <c r="ADA1" s="313">
        <v>44733</v>
      </c>
      <c r="ADB1" s="313">
        <v>44734</v>
      </c>
      <c r="ADC1" s="313">
        <v>44735</v>
      </c>
      <c r="ADD1" s="313">
        <v>44739</v>
      </c>
      <c r="ADE1" s="313">
        <v>44740</v>
      </c>
      <c r="ADF1" s="313">
        <v>44741</v>
      </c>
      <c r="ADG1" s="313">
        <v>44742</v>
      </c>
      <c r="ADH1" s="313">
        <v>44716</v>
      </c>
      <c r="ADI1" s="313">
        <v>44717</v>
      </c>
      <c r="ADJ1" s="313">
        <v>44718</v>
      </c>
      <c r="ADK1" s="313">
        <v>44719</v>
      </c>
      <c r="ADL1" s="313">
        <v>44720</v>
      </c>
      <c r="ADM1" s="313">
        <v>44723</v>
      </c>
      <c r="ADN1" s="313">
        <v>44726</v>
      </c>
      <c r="ADO1" s="313">
        <v>44727</v>
      </c>
      <c r="ADP1" s="313">
        <v>44730</v>
      </c>
      <c r="ADQ1" s="313">
        <v>44731</v>
      </c>
      <c r="ADR1" s="313">
        <v>44732</v>
      </c>
      <c r="ADS1" s="313">
        <v>44733</v>
      </c>
      <c r="ADT1" s="313">
        <v>44734</v>
      </c>
      <c r="ADU1" s="313">
        <v>44767</v>
      </c>
      <c r="ADV1" s="313">
        <v>44768</v>
      </c>
      <c r="ADW1" s="313">
        <v>44769</v>
      </c>
      <c r="ADX1" s="313">
        <v>44770</v>
      </c>
      <c r="ADY1" s="313">
        <v>44771</v>
      </c>
      <c r="ADZ1" s="313">
        <v>44774</v>
      </c>
      <c r="AEA1" s="313">
        <v>44775</v>
      </c>
      <c r="AEB1" s="313">
        <v>44776</v>
      </c>
      <c r="AEC1" s="313">
        <v>44777</v>
      </c>
      <c r="AED1" s="313">
        <v>44778</v>
      </c>
      <c r="AEE1" s="313">
        <v>44781</v>
      </c>
      <c r="AEF1" s="313">
        <v>44782</v>
      </c>
      <c r="AEG1" s="313">
        <v>44783</v>
      </c>
      <c r="AEH1" s="313">
        <v>44788</v>
      </c>
      <c r="AEI1" s="313">
        <v>44789</v>
      </c>
      <c r="AEJ1" s="313">
        <v>44790</v>
      </c>
      <c r="AEK1" s="313">
        <v>44791</v>
      </c>
      <c r="AEL1" s="313">
        <v>44792</v>
      </c>
      <c r="AEM1" s="313">
        <v>44795</v>
      </c>
      <c r="AEN1" s="313">
        <v>44796</v>
      </c>
      <c r="AEO1" s="313">
        <v>44797</v>
      </c>
      <c r="AEP1" s="313">
        <v>44798</v>
      </c>
      <c r="AEQ1" s="313">
        <v>44799</v>
      </c>
      <c r="AER1" s="313">
        <v>44802</v>
      </c>
      <c r="AES1" s="313">
        <v>44803</v>
      </c>
      <c r="AET1" s="313">
        <v>44804</v>
      </c>
      <c r="AEU1" s="313">
        <v>44805</v>
      </c>
      <c r="AEV1" s="313">
        <v>44806</v>
      </c>
      <c r="AEW1" s="313">
        <v>44809</v>
      </c>
      <c r="AEX1" s="313">
        <v>44810</v>
      </c>
      <c r="AEY1" s="313">
        <v>44811</v>
      </c>
      <c r="AEZ1" s="313">
        <v>44817</v>
      </c>
      <c r="AFA1" s="313">
        <v>44818</v>
      </c>
      <c r="AFB1" s="313">
        <v>44819</v>
      </c>
      <c r="AFC1" s="313">
        <v>44820</v>
      </c>
      <c r="AFD1" s="313">
        <v>44823</v>
      </c>
      <c r="AFE1" s="313">
        <v>44824</v>
      </c>
      <c r="AFF1" s="313">
        <v>44825</v>
      </c>
      <c r="AFG1" s="313">
        <v>44826</v>
      </c>
      <c r="AFH1" s="313">
        <v>44830</v>
      </c>
      <c r="AFI1" s="313">
        <v>44831</v>
      </c>
      <c r="AFJ1" s="313">
        <v>44832</v>
      </c>
      <c r="AFK1" s="313">
        <v>44833</v>
      </c>
      <c r="AFL1" s="313">
        <v>44834</v>
      </c>
      <c r="AFM1" s="313">
        <v>44837</v>
      </c>
      <c r="AFN1" s="313">
        <v>44838</v>
      </c>
      <c r="AFO1" s="313">
        <v>44839</v>
      </c>
      <c r="AFP1" s="313">
        <v>44840</v>
      </c>
      <c r="AFQ1" s="313">
        <v>44841</v>
      </c>
      <c r="AFR1" s="313">
        <v>44844</v>
      </c>
      <c r="AFS1" s="313">
        <v>44845</v>
      </c>
      <c r="AFT1" s="313">
        <v>44846</v>
      </c>
      <c r="AFU1" s="313">
        <v>44847</v>
      </c>
      <c r="AFV1" s="313">
        <v>44848</v>
      </c>
      <c r="AFW1" s="313">
        <v>44851</v>
      </c>
      <c r="AFX1" s="313">
        <v>44852</v>
      </c>
      <c r="AFY1" s="313">
        <v>44853</v>
      </c>
      <c r="AFZ1" s="313">
        <v>44854</v>
      </c>
      <c r="AGA1" s="313">
        <v>44855</v>
      </c>
      <c r="AGB1" s="313">
        <v>44858</v>
      </c>
      <c r="AGC1" s="313">
        <v>44859</v>
      </c>
      <c r="AGD1" s="313">
        <v>44860</v>
      </c>
      <c r="AGE1" s="313">
        <v>44861</v>
      </c>
      <c r="AGF1" s="313">
        <v>44862</v>
      </c>
      <c r="AGG1" s="313">
        <v>44865</v>
      </c>
      <c r="AGH1" s="313">
        <v>44866</v>
      </c>
      <c r="AGI1" s="313">
        <v>44867</v>
      </c>
      <c r="AGJ1" s="313">
        <v>44868</v>
      </c>
      <c r="AGK1" s="313">
        <v>44869</v>
      </c>
      <c r="AGL1" s="313">
        <v>44873</v>
      </c>
      <c r="AGM1" s="313">
        <v>44874</v>
      </c>
      <c r="AGN1" s="313">
        <v>44875</v>
      </c>
      <c r="AGO1" s="313">
        <v>44876</v>
      </c>
      <c r="AGP1" s="313">
        <v>44879</v>
      </c>
      <c r="AGQ1" s="313">
        <v>44880</v>
      </c>
      <c r="AGR1" s="313">
        <v>44881</v>
      </c>
      <c r="AGS1" s="313">
        <v>44882</v>
      </c>
      <c r="AGT1" s="313">
        <v>44883</v>
      </c>
      <c r="AGU1" s="313">
        <v>44886</v>
      </c>
      <c r="AGV1" s="313">
        <v>44887</v>
      </c>
      <c r="AGW1" s="313">
        <v>44888</v>
      </c>
      <c r="AGX1" s="313">
        <v>44889</v>
      </c>
      <c r="AGY1" s="313">
        <v>44890</v>
      </c>
      <c r="AGZ1" s="313">
        <v>44893</v>
      </c>
      <c r="AHA1" s="313">
        <v>44895</v>
      </c>
      <c r="AHB1" s="313">
        <v>44896</v>
      </c>
      <c r="AHC1" s="313">
        <v>44897</v>
      </c>
      <c r="AHD1" s="313">
        <v>44900</v>
      </c>
      <c r="AHE1" s="313">
        <v>44901</v>
      </c>
      <c r="AHF1" s="313">
        <v>44903</v>
      </c>
      <c r="AHG1" s="381">
        <v>44904</v>
      </c>
      <c r="AHH1" s="313">
        <v>44907</v>
      </c>
      <c r="AHI1" s="313">
        <v>44908</v>
      </c>
      <c r="AHJ1" s="313">
        <v>44909</v>
      </c>
      <c r="AHK1" s="313">
        <v>44910</v>
      </c>
      <c r="AHL1" s="313">
        <v>44911</v>
      </c>
      <c r="AHM1" s="313">
        <v>44914</v>
      </c>
      <c r="AHN1" s="313">
        <v>44915</v>
      </c>
      <c r="AHO1" s="313">
        <v>44917</v>
      </c>
      <c r="AHP1" s="313">
        <v>44918</v>
      </c>
      <c r="AHQ1" s="313">
        <v>44922</v>
      </c>
      <c r="AHR1" s="313">
        <v>44923</v>
      </c>
      <c r="AHS1" s="389">
        <v>44924</v>
      </c>
      <c r="AHT1" s="389">
        <v>44925</v>
      </c>
      <c r="AHU1" s="389">
        <v>44928</v>
      </c>
      <c r="AHV1" s="389">
        <v>44929</v>
      </c>
      <c r="AHW1" s="389">
        <v>44930</v>
      </c>
      <c r="AHX1" s="389">
        <v>44931</v>
      </c>
      <c r="AHY1" s="389">
        <v>44935</v>
      </c>
      <c r="AHZ1" s="389">
        <v>44936</v>
      </c>
      <c r="AIA1" s="389">
        <v>44937</v>
      </c>
      <c r="AIB1" s="389">
        <v>44938</v>
      </c>
      <c r="AIC1" s="389">
        <v>44939</v>
      </c>
      <c r="AID1" s="389">
        <v>44942</v>
      </c>
      <c r="AIE1" s="389">
        <v>44943</v>
      </c>
      <c r="AIF1" s="389">
        <v>44944</v>
      </c>
      <c r="AIG1" s="389">
        <v>44945</v>
      </c>
      <c r="AIH1" s="389">
        <v>44946</v>
      </c>
      <c r="AIJ1" s="83" t="s">
        <v>44</v>
      </c>
      <c r="AIK1" s="47" t="s">
        <v>104</v>
      </c>
      <c r="AIL1" s="46" t="s">
        <v>78</v>
      </c>
      <c r="AIM1" s="46" t="s">
        <v>105</v>
      </c>
      <c r="AIN1" s="46" t="s">
        <v>106</v>
      </c>
      <c r="AIO1" s="46" t="s">
        <v>107</v>
      </c>
      <c r="AIP1" s="46" t="s">
        <v>44</v>
      </c>
      <c r="AIQ1" s="46" t="s">
        <v>62</v>
      </c>
      <c r="AIR1" s="46" t="s">
        <v>45</v>
      </c>
      <c r="AIS1" s="83" t="s">
        <v>108</v>
      </c>
      <c r="AIV1" s="4" t="s">
        <v>109</v>
      </c>
      <c r="AIW1" s="49"/>
      <c r="AIX1" s="133" t="s">
        <v>110</v>
      </c>
      <c r="AIY1" s="49"/>
      <c r="AIZ1" s="49"/>
    </row>
    <row r="2" spans="1:955" x14ac:dyDescent="0.25">
      <c r="A2" s="6" t="s">
        <v>46</v>
      </c>
      <c r="B2" s="8" t="s">
        <v>47</v>
      </c>
      <c r="C2" s="7">
        <v>9000</v>
      </c>
      <c r="D2" s="7">
        <v>6902</v>
      </c>
      <c r="E2" s="7">
        <v>6927</v>
      </c>
      <c r="F2" s="7">
        <v>7224</v>
      </c>
      <c r="G2" s="7">
        <v>7310</v>
      </c>
      <c r="H2" s="7">
        <v>7310</v>
      </c>
      <c r="I2" s="7">
        <v>7547</v>
      </c>
      <c r="J2" s="7">
        <v>7659</v>
      </c>
      <c r="K2" s="7">
        <v>7894</v>
      </c>
      <c r="L2" s="7">
        <v>8000</v>
      </c>
      <c r="M2" s="7">
        <v>7999</v>
      </c>
      <c r="N2" s="7">
        <v>8140</v>
      </c>
      <c r="O2" s="7">
        <v>7932</v>
      </c>
      <c r="P2" s="7">
        <v>7697</v>
      </c>
      <c r="Q2" s="7">
        <f>8887-1000</f>
        <v>7887</v>
      </c>
      <c r="R2" s="7">
        <v>8236</v>
      </c>
      <c r="S2" s="7">
        <v>8096</v>
      </c>
      <c r="T2" s="7">
        <v>8186</v>
      </c>
      <c r="U2" s="7">
        <v>8254</v>
      </c>
      <c r="V2" s="7">
        <v>8140</v>
      </c>
      <c r="W2" s="7"/>
      <c r="X2" s="7"/>
      <c r="Y2" s="7">
        <v>7499</v>
      </c>
      <c r="Z2" s="7">
        <v>7327</v>
      </c>
      <c r="AA2" s="7">
        <v>7604</v>
      </c>
      <c r="AB2" s="7">
        <v>7603</v>
      </c>
      <c r="AC2" s="7">
        <v>7457</v>
      </c>
      <c r="AD2" s="7"/>
      <c r="AE2" s="10">
        <v>7619.58</v>
      </c>
      <c r="AF2" s="10">
        <v>7725</v>
      </c>
      <c r="AG2" s="10">
        <v>6469</v>
      </c>
      <c r="AH2" s="10">
        <v>6645</v>
      </c>
      <c r="AI2" s="10">
        <v>6615</v>
      </c>
      <c r="AJ2" s="10">
        <v>6602</v>
      </c>
      <c r="AK2" s="10">
        <v>6653</v>
      </c>
      <c r="AL2" s="10">
        <v>5370</v>
      </c>
      <c r="AM2" s="10">
        <v>5392.46</v>
      </c>
      <c r="AN2" s="10">
        <v>5477</v>
      </c>
      <c r="AO2" s="10">
        <v>5476</v>
      </c>
      <c r="AP2" s="10">
        <v>5483</v>
      </c>
      <c r="AQ2" s="10">
        <v>5651</v>
      </c>
      <c r="AR2" s="10">
        <v>5733</v>
      </c>
      <c r="AS2" s="10">
        <v>5824</v>
      </c>
      <c r="AT2" s="10">
        <v>5877</v>
      </c>
      <c r="AU2" s="10">
        <v>6051</v>
      </c>
      <c r="AV2" s="10">
        <v>6419</v>
      </c>
      <c r="AW2" s="10">
        <v>6419</v>
      </c>
      <c r="AX2" s="10">
        <v>6881</v>
      </c>
      <c r="AY2" s="10">
        <v>7061</v>
      </c>
      <c r="AZ2" s="10">
        <v>6897</v>
      </c>
      <c r="BA2" s="10">
        <v>6854</v>
      </c>
      <c r="BB2" s="10">
        <v>6714</v>
      </c>
      <c r="BC2" s="10">
        <v>6764</v>
      </c>
      <c r="BD2" s="10">
        <v>6765</v>
      </c>
      <c r="BE2" s="10">
        <v>6836</v>
      </c>
      <c r="BF2" s="10">
        <v>6839</v>
      </c>
      <c r="BG2" s="10">
        <v>6853</v>
      </c>
      <c r="BH2" s="10">
        <v>7034</v>
      </c>
      <c r="BI2" s="10">
        <v>7093</v>
      </c>
      <c r="BJ2" s="10">
        <v>7117</v>
      </c>
      <c r="BK2" s="10">
        <v>7195</v>
      </c>
      <c r="BL2" s="10">
        <v>7093</v>
      </c>
      <c r="BM2" s="10">
        <v>7059</v>
      </c>
      <c r="BN2" s="10">
        <v>7047</v>
      </c>
      <c r="BO2" s="10">
        <v>7064</v>
      </c>
      <c r="BP2" s="10">
        <v>7064</v>
      </c>
      <c r="BQ2" s="10">
        <v>7064</v>
      </c>
      <c r="BR2" s="10">
        <v>7033</v>
      </c>
      <c r="BS2" s="10">
        <v>7227</v>
      </c>
      <c r="BT2" s="10">
        <v>7243</v>
      </c>
      <c r="BU2" s="10">
        <v>7277</v>
      </c>
      <c r="BV2" s="10">
        <v>7269</v>
      </c>
      <c r="BW2" s="10">
        <v>6897</v>
      </c>
      <c r="BX2" s="10">
        <v>6534</v>
      </c>
      <c r="BY2" s="10">
        <v>6116</v>
      </c>
      <c r="BZ2" s="10">
        <v>5707</v>
      </c>
      <c r="CA2" s="10">
        <v>5707</v>
      </c>
      <c r="CB2" s="10">
        <v>5658</v>
      </c>
      <c r="CC2" s="10">
        <v>5334</v>
      </c>
      <c r="CD2" s="10">
        <v>5364</v>
      </c>
      <c r="CE2" s="10">
        <v>5167</v>
      </c>
      <c r="CF2" s="10">
        <v>5167</v>
      </c>
      <c r="CG2" s="10">
        <v>5321</v>
      </c>
      <c r="CH2" s="10">
        <v>4593</v>
      </c>
      <c r="CI2" s="10">
        <v>4593</v>
      </c>
      <c r="CJ2" s="10">
        <v>4489</v>
      </c>
      <c r="CK2" s="10">
        <v>4633</v>
      </c>
      <c r="CL2" s="10">
        <v>4838</v>
      </c>
      <c r="CM2" s="10">
        <v>4925</v>
      </c>
      <c r="CN2" s="10">
        <v>4879</v>
      </c>
      <c r="CO2" s="10">
        <v>4665</v>
      </c>
      <c r="CP2" s="10">
        <v>4760</v>
      </c>
      <c r="CQ2" s="10">
        <v>4783</v>
      </c>
      <c r="CR2" s="10">
        <v>4704</v>
      </c>
      <c r="CS2" s="10">
        <v>4681</v>
      </c>
      <c r="CT2" s="10">
        <v>4891</v>
      </c>
      <c r="CU2" s="10">
        <v>4890</v>
      </c>
      <c r="CV2" s="10">
        <v>4718</v>
      </c>
      <c r="CW2" s="10">
        <v>5413</v>
      </c>
      <c r="CX2" s="10">
        <v>5371</v>
      </c>
      <c r="CY2" s="10">
        <v>5264</v>
      </c>
      <c r="CZ2" s="10">
        <v>5074</v>
      </c>
      <c r="DA2" s="10">
        <v>5275</v>
      </c>
      <c r="DB2" s="10">
        <v>5241</v>
      </c>
      <c r="DC2" s="10">
        <v>5185</v>
      </c>
      <c r="DD2" s="10">
        <v>4996</v>
      </c>
      <c r="DE2" s="10">
        <v>4866</v>
      </c>
      <c r="DF2" s="10">
        <v>4749</v>
      </c>
      <c r="DG2" s="10">
        <v>4873</v>
      </c>
      <c r="DH2" s="10">
        <v>4934</v>
      </c>
      <c r="DI2" s="10">
        <v>4714</v>
      </c>
      <c r="DJ2" s="10">
        <v>5389</v>
      </c>
      <c r="DK2" s="10">
        <v>5410</v>
      </c>
      <c r="DL2" s="10">
        <v>5541</v>
      </c>
      <c r="DM2" s="10">
        <v>5872</v>
      </c>
      <c r="DN2" s="10">
        <v>5882</v>
      </c>
      <c r="DO2" s="10">
        <v>5883</v>
      </c>
      <c r="DP2" s="10">
        <v>5727</v>
      </c>
      <c r="DQ2" s="10">
        <v>5654</v>
      </c>
      <c r="DR2" s="10">
        <v>5826</v>
      </c>
      <c r="DS2" s="10">
        <v>5911</v>
      </c>
      <c r="DT2" s="10">
        <v>4807</v>
      </c>
      <c r="DU2" s="10">
        <v>4586</v>
      </c>
      <c r="DV2" s="10">
        <v>4779</v>
      </c>
      <c r="DW2" s="10">
        <v>5401</v>
      </c>
      <c r="DX2" s="10">
        <v>4531</v>
      </c>
      <c r="DY2" s="10">
        <v>4401</v>
      </c>
      <c r="DZ2" s="10">
        <v>4976</v>
      </c>
      <c r="EA2" s="10">
        <v>5275</v>
      </c>
      <c r="EB2" s="10">
        <v>5256</v>
      </c>
      <c r="EC2" s="10">
        <v>5282</v>
      </c>
      <c r="ED2" s="10">
        <v>5269</v>
      </c>
      <c r="EE2" s="10">
        <v>5350</v>
      </c>
      <c r="EF2" s="10">
        <v>5950</v>
      </c>
      <c r="EG2" s="10">
        <v>5820</v>
      </c>
      <c r="EH2" s="10">
        <v>5748</v>
      </c>
      <c r="EI2" s="10">
        <v>6044</v>
      </c>
      <c r="EJ2" s="10">
        <v>7246</v>
      </c>
      <c r="EK2" s="10">
        <v>7175</v>
      </c>
      <c r="EL2" s="10">
        <v>7369</v>
      </c>
      <c r="EM2" s="10">
        <v>7370</v>
      </c>
      <c r="EN2" s="10">
        <v>7113</v>
      </c>
      <c r="EO2" s="10">
        <v>7203</v>
      </c>
      <c r="EP2" s="10">
        <v>6946</v>
      </c>
      <c r="EQ2" s="10">
        <v>7357</v>
      </c>
      <c r="ER2" s="10">
        <v>7127</v>
      </c>
      <c r="ES2" s="10">
        <v>7547</v>
      </c>
      <c r="ET2" s="10">
        <v>7941</v>
      </c>
      <c r="EU2" s="10">
        <v>8486</v>
      </c>
      <c r="EV2" s="10">
        <v>8467</v>
      </c>
      <c r="EW2" s="10">
        <v>8950</v>
      </c>
      <c r="EX2" s="10">
        <v>8950</v>
      </c>
      <c r="EY2" s="10">
        <v>8277</v>
      </c>
      <c r="EZ2" s="10">
        <v>7467</v>
      </c>
      <c r="FA2" s="10">
        <v>7565</v>
      </c>
      <c r="FB2" s="10">
        <v>8031</v>
      </c>
      <c r="FC2" s="10"/>
      <c r="FD2" s="10">
        <v>8753</v>
      </c>
      <c r="FE2" s="10">
        <v>8434</v>
      </c>
      <c r="FF2" s="10">
        <v>8581</v>
      </c>
      <c r="FG2" s="10">
        <v>8872</v>
      </c>
      <c r="FH2" s="10"/>
      <c r="FI2" s="10">
        <v>8573</v>
      </c>
      <c r="FJ2" s="10">
        <v>8325</v>
      </c>
      <c r="FK2" s="10">
        <v>8453</v>
      </c>
      <c r="FL2" s="10">
        <v>8369</v>
      </c>
      <c r="FM2" s="10">
        <v>8524</v>
      </c>
      <c r="FN2" s="10">
        <v>8585</v>
      </c>
      <c r="FO2" s="10">
        <v>8688</v>
      </c>
      <c r="FP2" s="10">
        <v>8737</v>
      </c>
      <c r="FQ2" s="10">
        <v>8722</v>
      </c>
      <c r="FR2" s="10">
        <v>8505</v>
      </c>
      <c r="FS2" s="10">
        <v>8562</v>
      </c>
      <c r="FT2" s="10"/>
      <c r="FU2" s="10">
        <v>8442</v>
      </c>
      <c r="FV2" s="10">
        <v>8501</v>
      </c>
      <c r="FW2" s="10">
        <v>8384</v>
      </c>
      <c r="FX2" s="10">
        <v>8296</v>
      </c>
      <c r="FY2" s="10"/>
      <c r="FZ2" s="10">
        <v>7445</v>
      </c>
      <c r="GA2" s="10">
        <v>7515</v>
      </c>
      <c r="GB2" s="10">
        <v>7756</v>
      </c>
      <c r="GC2" s="10">
        <v>7299</v>
      </c>
      <c r="GD2" s="10">
        <v>7327</v>
      </c>
      <c r="GE2" s="10">
        <v>7345</v>
      </c>
      <c r="GF2" s="10">
        <v>7415</v>
      </c>
      <c r="GG2" s="10">
        <v>6915</v>
      </c>
      <c r="GH2" s="10">
        <v>7132</v>
      </c>
      <c r="GI2" s="10">
        <v>7246</v>
      </c>
      <c r="GJ2" s="10">
        <v>7205</v>
      </c>
      <c r="GK2" s="10">
        <v>7180</v>
      </c>
      <c r="GL2" s="10">
        <v>7226</v>
      </c>
      <c r="GM2" s="10">
        <v>7171</v>
      </c>
      <c r="GN2" s="10">
        <v>6883</v>
      </c>
      <c r="GO2" s="10">
        <v>7054</v>
      </c>
      <c r="GP2" s="10">
        <v>7118</v>
      </c>
      <c r="GQ2" s="10">
        <v>6645</v>
      </c>
      <c r="GR2" s="10">
        <v>6626</v>
      </c>
      <c r="GS2" s="10">
        <v>6711</v>
      </c>
      <c r="GT2" s="10">
        <v>6998</v>
      </c>
      <c r="GU2" s="10">
        <v>6343</v>
      </c>
      <c r="GV2" s="10">
        <v>6530</v>
      </c>
      <c r="GW2" s="10">
        <v>6643</v>
      </c>
      <c r="GX2" s="10">
        <v>6598</v>
      </c>
      <c r="GY2" s="10">
        <v>6638</v>
      </c>
      <c r="GZ2" s="10">
        <v>6408</v>
      </c>
      <c r="HA2" s="10">
        <v>5936</v>
      </c>
      <c r="HB2" s="10">
        <v>5610</v>
      </c>
      <c r="HC2" s="10">
        <v>5139</v>
      </c>
      <c r="HD2" s="10">
        <v>5139</v>
      </c>
      <c r="HE2" s="10">
        <v>4833</v>
      </c>
      <c r="HF2" s="10">
        <v>4151</v>
      </c>
      <c r="HG2" s="10">
        <v>4332</v>
      </c>
      <c r="HH2" s="10">
        <v>4737</v>
      </c>
      <c r="HI2" s="10">
        <v>4541</v>
      </c>
      <c r="HJ2" s="10">
        <v>4580</v>
      </c>
      <c r="HK2" s="10">
        <v>4785</v>
      </c>
      <c r="HL2" s="10">
        <v>4606</v>
      </c>
      <c r="HM2" s="10">
        <v>4567</v>
      </c>
      <c r="HN2" s="10">
        <v>4569</v>
      </c>
      <c r="HO2" s="10">
        <v>4804</v>
      </c>
      <c r="HP2" s="10">
        <v>4781</v>
      </c>
      <c r="HQ2" s="10">
        <v>4916</v>
      </c>
      <c r="HR2" s="10">
        <v>4931</v>
      </c>
      <c r="HS2" s="10">
        <v>4931</v>
      </c>
      <c r="HT2" s="10">
        <v>4980</v>
      </c>
      <c r="HU2" s="10">
        <v>5115</v>
      </c>
      <c r="HV2" s="10">
        <v>4778</v>
      </c>
      <c r="HW2" s="10">
        <v>4752</v>
      </c>
      <c r="HX2" s="10">
        <v>4752</v>
      </c>
      <c r="HY2" s="10">
        <v>4869</v>
      </c>
      <c r="HZ2" s="10">
        <v>4876</v>
      </c>
      <c r="IA2" s="10">
        <v>4796</v>
      </c>
      <c r="IB2" s="10">
        <v>4796</v>
      </c>
      <c r="IC2" s="10">
        <v>4776</v>
      </c>
      <c r="ID2" s="10">
        <v>4918</v>
      </c>
      <c r="IE2" s="10">
        <v>5049</v>
      </c>
      <c r="IF2" s="10">
        <v>4381</v>
      </c>
      <c r="IG2" s="10">
        <v>4381</v>
      </c>
      <c r="IH2" s="10">
        <v>4493</v>
      </c>
      <c r="II2" s="10">
        <v>4603</v>
      </c>
      <c r="IJ2" s="10">
        <v>4735</v>
      </c>
      <c r="IK2" s="10">
        <v>4463</v>
      </c>
      <c r="IL2" s="10">
        <v>4463</v>
      </c>
      <c r="IM2" s="10">
        <v>4571</v>
      </c>
      <c r="IN2" s="10">
        <v>4877</v>
      </c>
      <c r="IO2" s="10">
        <v>4574</v>
      </c>
      <c r="IP2" s="10">
        <v>4574</v>
      </c>
      <c r="IQ2" s="10">
        <v>4552</v>
      </c>
      <c r="IR2" s="10">
        <v>4508</v>
      </c>
      <c r="IS2" s="10">
        <v>4458</v>
      </c>
      <c r="IT2" s="10">
        <v>4458</v>
      </c>
      <c r="IU2" s="10">
        <v>4458</v>
      </c>
      <c r="IV2" s="10">
        <v>4388</v>
      </c>
      <c r="IW2" s="10">
        <v>4320</v>
      </c>
      <c r="IX2" s="10">
        <v>4258</v>
      </c>
      <c r="IY2" s="10">
        <v>4242</v>
      </c>
      <c r="IZ2" s="10">
        <v>4083</v>
      </c>
      <c r="JA2" s="10">
        <v>5258</v>
      </c>
      <c r="JB2" s="10">
        <v>5207</v>
      </c>
      <c r="JC2" s="10">
        <v>5336</v>
      </c>
      <c r="JD2" s="10">
        <v>5999</v>
      </c>
      <c r="JE2" s="10">
        <v>5999</v>
      </c>
      <c r="JF2" s="10">
        <v>5941</v>
      </c>
      <c r="JG2" s="10">
        <v>5911</v>
      </c>
      <c r="JH2" s="10">
        <v>6026</v>
      </c>
      <c r="JI2" s="10">
        <v>6026</v>
      </c>
      <c r="JJ2" s="10">
        <v>6144</v>
      </c>
      <c r="JK2" s="10">
        <v>6275</v>
      </c>
      <c r="JL2" s="10">
        <v>6323</v>
      </c>
      <c r="JM2" s="10">
        <v>6413</v>
      </c>
      <c r="JN2" s="10">
        <v>6541</v>
      </c>
      <c r="JO2" s="10">
        <v>6618</v>
      </c>
      <c r="JP2" s="10">
        <v>6362</v>
      </c>
      <c r="JQ2" s="10">
        <v>6446</v>
      </c>
      <c r="JR2" s="10">
        <v>6363</v>
      </c>
      <c r="JS2" s="10">
        <v>6425</v>
      </c>
      <c r="JT2" s="10">
        <v>6482</v>
      </c>
      <c r="JU2" s="10">
        <v>6421</v>
      </c>
      <c r="JV2" s="10">
        <v>6304</v>
      </c>
      <c r="JW2" s="102">
        <v>6711</v>
      </c>
      <c r="JX2" s="475"/>
      <c r="JY2" s="24" t="s">
        <v>46</v>
      </c>
      <c r="JZ2" s="6" t="s">
        <v>47</v>
      </c>
      <c r="KA2" s="15"/>
      <c r="KB2" s="6" t="s">
        <v>46</v>
      </c>
      <c r="KC2" s="10">
        <v>6959</v>
      </c>
      <c r="KD2" s="10">
        <v>6767</v>
      </c>
      <c r="KE2" s="10">
        <v>6431</v>
      </c>
      <c r="KF2" s="10">
        <v>6315</v>
      </c>
      <c r="KG2" s="10">
        <v>6430</v>
      </c>
      <c r="KH2" s="10">
        <v>6627</v>
      </c>
      <c r="KI2" s="10">
        <v>6600</v>
      </c>
      <c r="KJ2" s="10">
        <v>6564</v>
      </c>
      <c r="KK2" s="122"/>
      <c r="KL2" s="6" t="s">
        <v>46</v>
      </c>
      <c r="KM2" s="10">
        <v>6639</v>
      </c>
      <c r="KN2" s="10">
        <v>6856</v>
      </c>
      <c r="KO2" s="10">
        <v>6942</v>
      </c>
      <c r="KP2" s="10">
        <v>6649</v>
      </c>
      <c r="KQ2" s="10">
        <v>6649</v>
      </c>
      <c r="KR2" s="10">
        <v>6751</v>
      </c>
      <c r="KS2" s="10">
        <v>6732</v>
      </c>
      <c r="KT2" s="10">
        <v>6761</v>
      </c>
      <c r="KU2" s="10">
        <v>6806</v>
      </c>
      <c r="KV2" s="10">
        <f>6806-847.96</f>
        <v>5958.04</v>
      </c>
      <c r="KW2" s="10">
        <f>6936-847.96</f>
        <v>6088.04</v>
      </c>
      <c r="KX2" s="10">
        <f>7018-847</f>
        <v>6171</v>
      </c>
      <c r="KY2" s="10">
        <f>6796-847</f>
        <v>5949</v>
      </c>
      <c r="KZ2" s="10">
        <f>6796-847</f>
        <v>5949</v>
      </c>
      <c r="LA2" s="10">
        <f>6796-847</f>
        <v>5949</v>
      </c>
      <c r="LB2" s="10">
        <f>6747-847</f>
        <v>5900</v>
      </c>
      <c r="LC2" s="10">
        <f>6491-847</f>
        <v>5644</v>
      </c>
      <c r="LD2" s="10">
        <f>5877-847.96</f>
        <v>5029.04</v>
      </c>
      <c r="LE2" s="10">
        <f>5877-847.96</f>
        <v>5029.04</v>
      </c>
      <c r="LF2" s="10">
        <f>5953-847.96</f>
        <v>5105.04</v>
      </c>
      <c r="LG2" s="10">
        <f>5774-847.96</f>
        <v>4926.04</v>
      </c>
      <c r="LH2" s="10">
        <f>5821-847.96</f>
        <v>4973.04</v>
      </c>
      <c r="LI2" s="10">
        <f>6170-847.96</f>
        <v>5322.04</v>
      </c>
      <c r="LJ2" s="10">
        <f>6170-847.96</f>
        <v>5322.04</v>
      </c>
      <c r="LK2" s="10">
        <f>6280-847.96</f>
        <v>5432.04</v>
      </c>
      <c r="LL2" s="10">
        <f>6495-847.96</f>
        <v>5647.04</v>
      </c>
      <c r="LM2" s="10">
        <f>6389-847.96</f>
        <v>5541.04</v>
      </c>
      <c r="LN2" s="10">
        <f>6350-847.96</f>
        <v>5502.04</v>
      </c>
      <c r="LO2" s="10">
        <f>6350-847.96</f>
        <v>5502.04</v>
      </c>
      <c r="LP2" s="10">
        <f>6632-847.96</f>
        <v>5784.04</v>
      </c>
      <c r="LQ2" s="10">
        <f>6785-847.96</f>
        <v>5937.04</v>
      </c>
      <c r="LR2" s="10">
        <f>6906-847.96</f>
        <v>6058.04</v>
      </c>
      <c r="LS2" s="10">
        <f>7197-847.96</f>
        <v>6349.04</v>
      </c>
      <c r="LT2" s="10">
        <f>7197-847.96</f>
        <v>6349.04</v>
      </c>
      <c r="LU2" s="10">
        <f>7255-847.96</f>
        <v>6407.04</v>
      </c>
      <c r="LV2" s="10">
        <f>7750-847.96</f>
        <v>6902.04</v>
      </c>
      <c r="LW2" s="10">
        <f>7183-847.96</f>
        <v>6335.04</v>
      </c>
      <c r="LX2" s="10">
        <f>7099-847.96</f>
        <v>6251.04</v>
      </c>
      <c r="LY2" s="10">
        <f>6926-847.96</f>
        <v>6078.04</v>
      </c>
      <c r="LZ2" s="10">
        <f>6926-847.96</f>
        <v>6078.04</v>
      </c>
      <c r="MA2" s="10">
        <f>6860-847.96</f>
        <v>6012.04</v>
      </c>
      <c r="MB2" s="10">
        <f>7116-847.96</f>
        <v>6268.04</v>
      </c>
      <c r="MC2" s="10">
        <f>7355-847.96</f>
        <v>6507.04</v>
      </c>
      <c r="MD2" s="10">
        <f>7569-847.96</f>
        <v>6721.04</v>
      </c>
      <c r="ME2" s="10">
        <f>7552-847.96</f>
        <v>6704.04</v>
      </c>
      <c r="MF2" s="10">
        <f>7511</f>
        <v>7511</v>
      </c>
      <c r="MG2" s="10">
        <f>6666</f>
        <v>6666</v>
      </c>
      <c r="MH2" s="10">
        <f>6668</f>
        <v>6668</v>
      </c>
      <c r="MI2" s="10">
        <f>7215</f>
        <v>7215</v>
      </c>
      <c r="MJ2" s="10">
        <f>7310</f>
        <v>7310</v>
      </c>
      <c r="MK2" s="10">
        <f>7129</f>
        <v>7129</v>
      </c>
      <c r="ML2" s="10">
        <f>7320-286</f>
        <v>7034</v>
      </c>
      <c r="MM2" s="10">
        <f>7733-281</f>
        <v>7452</v>
      </c>
      <c r="MN2" s="10">
        <f>7095-281.4</f>
        <v>6813.6</v>
      </c>
      <c r="MO2" s="10">
        <f>7085-281.4</f>
        <v>6803.6</v>
      </c>
      <c r="MP2" s="10">
        <f>6974-281.4</f>
        <v>6692.6</v>
      </c>
      <c r="MQ2" s="10">
        <f>7886-256</f>
        <v>7630</v>
      </c>
      <c r="MR2" s="10">
        <f>7668-256</f>
        <v>7412</v>
      </c>
      <c r="MS2" s="10">
        <f>7388-256</f>
        <v>7132</v>
      </c>
      <c r="MT2" s="10">
        <f>7210-256</f>
        <v>6954</v>
      </c>
      <c r="MU2" s="10">
        <f>7174-242</f>
        <v>6932</v>
      </c>
      <c r="MV2" s="10">
        <f>7403-242</f>
        <v>7161</v>
      </c>
      <c r="MW2" s="10">
        <f>7670-242</f>
        <v>7428</v>
      </c>
      <c r="MX2" s="10">
        <f>7308-242</f>
        <v>7066</v>
      </c>
      <c r="MY2" s="10">
        <f>6937-242</f>
        <v>6695</v>
      </c>
      <c r="MZ2" s="10">
        <f>7577-234</f>
        <v>7343</v>
      </c>
      <c r="NA2" s="10">
        <f>7312-234</f>
        <v>7078</v>
      </c>
      <c r="NB2" s="10">
        <f>6916-234</f>
        <v>6682</v>
      </c>
      <c r="NC2" s="10">
        <f>7417-234</f>
        <v>7183</v>
      </c>
      <c r="ND2" s="10">
        <f>7273-234</f>
        <v>7039</v>
      </c>
      <c r="NE2" s="10">
        <f>6868-226</f>
        <v>6642</v>
      </c>
      <c r="NF2" s="10">
        <f>6937-226</f>
        <v>6711</v>
      </c>
      <c r="NG2" s="10">
        <f>6746-226</f>
        <v>6520</v>
      </c>
      <c r="NH2" s="10">
        <f>7166-219.45</f>
        <v>6946.55</v>
      </c>
      <c r="NI2" s="10">
        <f>7197-217</f>
        <v>6980</v>
      </c>
      <c r="NJ2" s="10">
        <f>7187-217</f>
        <v>6970</v>
      </c>
      <c r="NK2" s="10">
        <f>7564-217</f>
        <v>7347</v>
      </c>
      <c r="NL2" s="10">
        <f>7758-217</f>
        <v>7541</v>
      </c>
      <c r="NM2" s="10">
        <f>8055-217</f>
        <v>7838</v>
      </c>
      <c r="NN2" s="10">
        <f>8085-204.975</f>
        <v>7880.0249999999996</v>
      </c>
      <c r="NO2" s="10">
        <f>7730-204.975</f>
        <v>7525.0249999999996</v>
      </c>
      <c r="NP2" s="10">
        <f>7536-204.975</f>
        <v>7331.0249999999996</v>
      </c>
      <c r="NQ2" s="10">
        <f>7578-204.975</f>
        <v>7373.0249999999996</v>
      </c>
      <c r="NR2" s="10">
        <f>7796-204.975</f>
        <v>7591.0249999999996</v>
      </c>
      <c r="NS2" s="10">
        <f>7117-192.225</f>
        <v>6924.7749999999996</v>
      </c>
      <c r="NT2" s="10">
        <f>7160-192.225</f>
        <v>6967.7749999999996</v>
      </c>
      <c r="NU2" s="10">
        <f>7057-192.225</f>
        <v>6864.7749999999996</v>
      </c>
      <c r="NV2" s="10">
        <f>6830-192.225</f>
        <v>6637.7749999999996</v>
      </c>
      <c r="NW2" s="10">
        <f>6856-192.225</f>
        <v>6663.7749999999996</v>
      </c>
      <c r="NX2" s="10">
        <f>6910-188.1</f>
        <v>6721.9</v>
      </c>
      <c r="NY2" s="10">
        <f>6513-188.1</f>
        <v>6324.9</v>
      </c>
      <c r="NZ2" s="10">
        <f>6511-188.1</f>
        <v>6322.9</v>
      </c>
      <c r="OA2" s="10">
        <f>6329-188.1</f>
        <v>6140.9</v>
      </c>
      <c r="OB2" s="10">
        <f>5798-164.975</f>
        <v>5633.0249999999996</v>
      </c>
      <c r="OC2" s="10">
        <f>5309-164.975</f>
        <v>5144.0249999999996</v>
      </c>
      <c r="OD2" s="10">
        <f>5235-164.975</f>
        <v>5070.0249999999996</v>
      </c>
      <c r="OE2" s="10">
        <f>5235-164.975</f>
        <v>5070.0249999999996</v>
      </c>
      <c r="OF2" s="10">
        <f>5212-164.975</f>
        <v>5047.0249999999996</v>
      </c>
      <c r="OG2" s="10">
        <f>5610-146.275</f>
        <v>5463.7250000000004</v>
      </c>
      <c r="OH2" s="10">
        <f>5561-146.275</f>
        <v>5414.7250000000004</v>
      </c>
      <c r="OI2" s="10">
        <f>5540-146.275</f>
        <v>5393.7250000000004</v>
      </c>
      <c r="OJ2" s="10">
        <f>5406-146.275</f>
        <v>5259.7250000000004</v>
      </c>
      <c r="OK2" s="10">
        <f>5679-114.4</f>
        <v>5564.6</v>
      </c>
      <c r="OL2" s="10">
        <f>5478-114.4</f>
        <v>5363.6</v>
      </c>
      <c r="OM2" s="10">
        <f>5655-114.4</f>
        <v>5540.6</v>
      </c>
      <c r="ON2" s="10">
        <f>5656-114.025</f>
        <v>5541.9750000000004</v>
      </c>
      <c r="OO2" s="10">
        <f>5705-114.025</f>
        <v>5590.9750000000004</v>
      </c>
      <c r="OP2" s="10">
        <f>5733.36-114.025</f>
        <v>5619.335</v>
      </c>
      <c r="OQ2" s="10">
        <f>5837.14-114.025</f>
        <v>5723.1150000000007</v>
      </c>
      <c r="OR2" s="10">
        <f>5981.9-114.025</f>
        <v>5867.875</v>
      </c>
      <c r="OS2" s="10">
        <f>5745.92-104.05</f>
        <v>5641.87</v>
      </c>
      <c r="OT2" s="10">
        <f>5737.68-104.05</f>
        <v>5633.63</v>
      </c>
      <c r="OU2" s="10">
        <f>5589.55-104.05</f>
        <v>5485.5</v>
      </c>
      <c r="OV2" s="10">
        <f>5420.4-104.05</f>
        <v>5316.3499999999995</v>
      </c>
      <c r="OW2" s="10">
        <f>5467.27</f>
        <v>5467.27</v>
      </c>
      <c r="OX2" s="10">
        <f>5628.16</f>
        <v>5628.16</v>
      </c>
      <c r="OY2" s="10">
        <f>5727.85</f>
        <v>5727.85</v>
      </c>
      <c r="OZ2" s="10">
        <f>5647.16</f>
        <v>5647.16</v>
      </c>
      <c r="PA2" s="10">
        <f>5676.86</f>
        <v>5676.86</v>
      </c>
      <c r="PB2" s="10">
        <f>5757.27</f>
        <v>5757.27</v>
      </c>
      <c r="PC2" s="10">
        <f>5741.715</f>
        <v>5741.7150000000001</v>
      </c>
      <c r="PD2" s="10">
        <f>5686.765</f>
        <v>5686.7650000000003</v>
      </c>
      <c r="PE2" s="10">
        <f>5951.435</f>
        <v>5951.4350000000004</v>
      </c>
      <c r="PF2" s="10">
        <f>6258.555</f>
        <v>6258.5550000000003</v>
      </c>
      <c r="PG2" s="10">
        <f>6400.835</f>
        <v>6400.835</v>
      </c>
      <c r="PH2" s="10">
        <f>6612.22</f>
        <v>6612.22</v>
      </c>
      <c r="PI2" s="10">
        <f>6627.12</f>
        <v>6627.12</v>
      </c>
      <c r="PJ2" s="10">
        <f>6835.05</f>
        <v>6835.05</v>
      </c>
      <c r="PK2" s="10">
        <f>6764.63</f>
        <v>6764.63</v>
      </c>
      <c r="PL2" s="10">
        <f>7488.755</f>
        <v>7488.7550000000001</v>
      </c>
      <c r="PM2" s="10">
        <f>7399.205</f>
        <v>7399.2049999999999</v>
      </c>
      <c r="PN2" s="10">
        <f>7534.585</f>
        <v>7534.585</v>
      </c>
      <c r="PO2" s="10">
        <f>7329.075</f>
        <v>7329.0749999999998</v>
      </c>
      <c r="PP2" s="10">
        <f>7460.235</f>
        <v>7460.2349999999997</v>
      </c>
      <c r="PQ2" s="10">
        <f>7523.825</f>
        <v>7523.8249999999998</v>
      </c>
      <c r="PR2" s="10">
        <f>7513.075</f>
        <v>7513.0749999999998</v>
      </c>
      <c r="PS2" s="10">
        <f>7619.535</f>
        <v>7619.5349999999999</v>
      </c>
      <c r="PT2" s="10">
        <f>7380.795</f>
        <v>7380.7950000000001</v>
      </c>
      <c r="PU2" s="10">
        <f>7432.355</f>
        <v>7432.3549999999996</v>
      </c>
      <c r="PV2" s="10">
        <f>7551.765</f>
        <v>7551.7650000000003</v>
      </c>
      <c r="PW2" s="10">
        <f>7416.885</f>
        <v>7416.8850000000002</v>
      </c>
      <c r="PX2" s="10">
        <f>7220.97</f>
        <v>7220.97</v>
      </c>
      <c r="PY2" s="10">
        <f>7220.97</f>
        <v>7220.97</v>
      </c>
      <c r="PZ2" s="10">
        <f>7464</f>
        <v>7464</v>
      </c>
      <c r="QA2" s="10">
        <f>7395.92</f>
        <v>7395.92</v>
      </c>
      <c r="QB2" s="10">
        <f>7427.99</f>
        <v>7427.99</v>
      </c>
      <c r="QC2" s="10">
        <f>7431.425</f>
        <v>7431.4250000000002</v>
      </c>
      <c r="QD2" s="10">
        <f>7383.525</f>
        <v>7383.5249999999996</v>
      </c>
      <c r="QE2" s="10">
        <f>7548.185</f>
        <v>7548.1850000000004</v>
      </c>
      <c r="QF2" s="10">
        <f>7517.695</f>
        <v>7517.6949999999997</v>
      </c>
      <c r="QG2" s="10">
        <f>6942.345</f>
        <v>6942.3450000000003</v>
      </c>
      <c r="QH2" s="10">
        <f>6984.305</f>
        <v>6984.3050000000003</v>
      </c>
      <c r="QI2" s="10">
        <f>6851.765</f>
        <v>6851.7650000000003</v>
      </c>
      <c r="QJ2" s="10">
        <f>6732.855</f>
        <v>6732.8549999999996</v>
      </c>
      <c r="QK2" s="10">
        <f>6414.805</f>
        <v>6414.8050000000003</v>
      </c>
      <c r="QL2" s="10">
        <f>6414.405</f>
        <v>6414.4049999999997</v>
      </c>
      <c r="QM2" s="10">
        <f>6412.405</f>
        <v>6412.4049999999997</v>
      </c>
      <c r="QN2" s="10">
        <f>6316.765</f>
        <v>6316.7650000000003</v>
      </c>
      <c r="QO2" s="10">
        <f>6208.505</f>
        <v>6208.5050000000001</v>
      </c>
      <c r="QP2" s="10">
        <f>5824.31</f>
        <v>5824.31</v>
      </c>
      <c r="QQ2" s="10">
        <f>5824.31</f>
        <v>5824.31</v>
      </c>
      <c r="QR2" s="10">
        <f>5833.59</f>
        <v>5833.59</v>
      </c>
      <c r="QS2" s="10">
        <f>5908.32</f>
        <v>5908.32</v>
      </c>
      <c r="QT2" s="10">
        <f>5993.56</f>
        <v>5993.56</v>
      </c>
      <c r="QU2" s="10">
        <f>6170.505</f>
        <v>6170.5050000000001</v>
      </c>
      <c r="QV2" s="10">
        <f>6148.945</f>
        <v>6148.9449999999997</v>
      </c>
      <c r="QW2" s="10">
        <f>6234.045</f>
        <v>6234.0450000000001</v>
      </c>
      <c r="QX2" s="10">
        <f>6163.915</f>
        <v>6163.915</v>
      </c>
      <c r="QY2" s="10">
        <f>5731.995</f>
        <v>5731.9949999999999</v>
      </c>
      <c r="QZ2" s="10">
        <f>5732.065</f>
        <v>5732.0649999999996</v>
      </c>
      <c r="RA2" s="10">
        <f>5899.745</f>
        <v>5899.7449999999999</v>
      </c>
      <c r="RB2" s="10">
        <f>5904.205</f>
        <v>5904.2049999999999</v>
      </c>
      <c r="RC2" s="10">
        <f>5943.995</f>
        <v>5943.9949999999999</v>
      </c>
      <c r="RD2" s="10">
        <f>5991.7</f>
        <v>5991.7</v>
      </c>
      <c r="RE2" s="10">
        <f>6030.97</f>
        <v>6030.97</v>
      </c>
      <c r="RF2" s="10">
        <f>6315.97</f>
        <v>6315.97</v>
      </c>
      <c r="RG2" s="10">
        <f>6417.79</f>
        <v>6417.79</v>
      </c>
      <c r="RH2" s="10">
        <f>6326.58</f>
        <v>6326.58</v>
      </c>
      <c r="RI2" s="10">
        <f>6104.11</f>
        <v>6104.11</v>
      </c>
      <c r="RJ2" s="10">
        <f>6059.53</f>
        <v>6059.53</v>
      </c>
      <c r="RK2" s="10">
        <f>6111.5</f>
        <v>6111.5</v>
      </c>
      <c r="RL2" s="10">
        <f>6074.86</f>
        <v>6074.86</v>
      </c>
      <c r="RM2" s="10">
        <f>6200.85</f>
        <v>6200.85</v>
      </c>
      <c r="RN2" s="10">
        <f>5959.75</f>
        <v>5959.75</v>
      </c>
      <c r="RO2" s="10">
        <f>5961.3</f>
        <v>5961.3</v>
      </c>
      <c r="RP2" s="10">
        <f>5942.64</f>
        <v>5942.64</v>
      </c>
      <c r="RQ2" s="10">
        <f>5822.74</f>
        <v>5822.74</v>
      </c>
      <c r="RR2" s="10">
        <f>5799.66</f>
        <v>5799.66</v>
      </c>
      <c r="RS2" s="10">
        <f>6014.78</f>
        <v>6014.78</v>
      </c>
      <c r="RT2" s="10">
        <f>6188.63</f>
        <v>6188.63</v>
      </c>
      <c r="RU2" s="10">
        <f>6388.64</f>
        <v>6388.64</v>
      </c>
      <c r="RV2" s="10">
        <f>6532.79</f>
        <v>6532.79</v>
      </c>
      <c r="RW2" s="10">
        <f>6959.27</f>
        <v>6959.27</v>
      </c>
      <c r="RX2" s="10">
        <f>6612.345</f>
        <v>6612.3450000000003</v>
      </c>
      <c r="RY2" s="10">
        <f>6669.115</f>
        <v>6669.1149999999998</v>
      </c>
      <c r="RZ2" s="10">
        <f>6604.885</f>
        <v>6604.8850000000002</v>
      </c>
      <c r="SA2" s="10">
        <f>6558.265</f>
        <v>6558.2650000000003</v>
      </c>
      <c r="SB2" s="10">
        <f>6688.525</f>
        <v>6688.5249999999996</v>
      </c>
      <c r="SC2" s="10">
        <f>6476.89</f>
        <v>6476.89</v>
      </c>
      <c r="SD2" s="10">
        <f>6476.89</f>
        <v>6476.89</v>
      </c>
      <c r="SE2" s="10">
        <f>6329.55</f>
        <v>6329.55</v>
      </c>
      <c r="SF2" s="10">
        <f>5923.31</f>
        <v>5923.31</v>
      </c>
      <c r="SG2" s="10">
        <f>5579.69</f>
        <v>5579.69</v>
      </c>
      <c r="SH2" s="10">
        <v>5332.41</v>
      </c>
      <c r="SI2" s="10">
        <v>5260.36</v>
      </c>
      <c r="SJ2" s="10">
        <v>5704.5349999999999</v>
      </c>
      <c r="SK2" s="10">
        <v>5569.375</v>
      </c>
      <c r="SL2" s="10">
        <v>5625.4650000000001</v>
      </c>
      <c r="SM2" s="10">
        <v>5512.1449999999995</v>
      </c>
      <c r="SN2" s="10">
        <v>5715.9749999999995</v>
      </c>
      <c r="SO2" s="10">
        <v>5800.2649999999994</v>
      </c>
      <c r="SP2" s="10">
        <v>5494.0249999999996</v>
      </c>
      <c r="SQ2" s="10">
        <v>5626.8249999999998</v>
      </c>
      <c r="SR2" s="10">
        <v>5739.5450000000001</v>
      </c>
      <c r="SS2" s="10">
        <v>5918.4449999999997</v>
      </c>
      <c r="ST2" s="10">
        <v>5894.8649999999998</v>
      </c>
      <c r="SU2" s="10">
        <v>5776.585</v>
      </c>
      <c r="SV2" s="10">
        <v>5875.3850000000002</v>
      </c>
      <c r="SW2" s="10">
        <v>6020.8249999999998</v>
      </c>
      <c r="SX2" s="10">
        <v>6478.0199999999995</v>
      </c>
      <c r="SY2" s="10">
        <v>6478.0199999999995</v>
      </c>
      <c r="SZ2" s="10">
        <v>6365.51</v>
      </c>
      <c r="TA2" s="10">
        <v>6382.57</v>
      </c>
      <c r="TB2" s="10">
        <v>6545.44</v>
      </c>
      <c r="TC2" s="10">
        <v>6730.8450000000003</v>
      </c>
      <c r="TD2" s="10">
        <v>6739.9645</v>
      </c>
      <c r="TE2" s="10">
        <v>6666.2191000000012</v>
      </c>
      <c r="TF2" s="10">
        <v>7588.1158000000014</v>
      </c>
      <c r="TG2" s="10">
        <v>7850.4932000000017</v>
      </c>
      <c r="TH2" s="10">
        <v>7989.647100000002</v>
      </c>
      <c r="TI2" s="10">
        <v>7980.232500000001</v>
      </c>
      <c r="TJ2" s="10">
        <v>8115.7653000000009</v>
      </c>
      <c r="TK2" s="10">
        <v>7931.9880999999996</v>
      </c>
      <c r="TL2" s="10">
        <v>7866.0278999999991</v>
      </c>
      <c r="TM2" s="10">
        <v>7869.1760999999988</v>
      </c>
      <c r="TN2" s="10">
        <v>7933.8887000000004</v>
      </c>
      <c r="TO2" s="10">
        <v>8151.1785</v>
      </c>
      <c r="TP2" s="10">
        <v>8198.4057000000012</v>
      </c>
      <c r="TQ2" s="10">
        <v>8626.0802000000003</v>
      </c>
      <c r="TR2" s="10">
        <v>8502.6291000000001</v>
      </c>
      <c r="TS2" s="10">
        <v>8532.9991000000009</v>
      </c>
      <c r="TT2" s="10">
        <v>8574.802499999998</v>
      </c>
      <c r="TU2" s="10">
        <v>8634.3262999999988</v>
      </c>
      <c r="TV2" s="10">
        <v>8918.0612000000001</v>
      </c>
      <c r="TW2" s="10">
        <v>8841.9038</v>
      </c>
      <c r="TX2" s="10">
        <v>8911.7068999999992</v>
      </c>
      <c r="TY2" s="10">
        <v>8735.1530000000021</v>
      </c>
      <c r="TZ2" s="10">
        <v>8791.1887999999999</v>
      </c>
      <c r="UA2" s="10">
        <v>8681.7502000000004</v>
      </c>
      <c r="UB2" s="10">
        <v>8766.7731999999996</v>
      </c>
      <c r="UC2" s="10">
        <v>8740.3624</v>
      </c>
      <c r="UD2" s="10">
        <v>8309.2520000000004</v>
      </c>
      <c r="UE2" s="10">
        <v>8349.5617000000002</v>
      </c>
      <c r="UF2" s="10">
        <v>8329.7824999999993</v>
      </c>
      <c r="UG2" s="10">
        <v>8368.8696999999993</v>
      </c>
      <c r="UH2" s="10">
        <v>8501.5293999999994</v>
      </c>
      <c r="UI2" s="10">
        <v>8403.1111999999994</v>
      </c>
      <c r="UJ2" s="10">
        <v>8533.1997000000028</v>
      </c>
      <c r="UK2" s="10">
        <v>8388.9114000000009</v>
      </c>
      <c r="UL2" s="10">
        <v>8498</v>
      </c>
      <c r="UM2" s="10">
        <v>8481.946100000001</v>
      </c>
      <c r="UN2" s="10">
        <v>8470.3525999999983</v>
      </c>
      <c r="UO2" s="10">
        <v>8337.0241000000024</v>
      </c>
      <c r="UP2" s="10">
        <v>8195.9989999999998</v>
      </c>
      <c r="UQ2" s="10">
        <v>8386.2100000000028</v>
      </c>
      <c r="UR2" s="10">
        <v>8616.0204000000012</v>
      </c>
      <c r="US2" s="10">
        <v>8331.4097000000002</v>
      </c>
      <c r="UT2" s="10">
        <v>8115.5706</v>
      </c>
      <c r="UU2" s="10">
        <v>8086.8652000000002</v>
      </c>
      <c r="UV2" s="10">
        <v>7941.4096000000009</v>
      </c>
      <c r="UW2" s="10">
        <v>7796.3578999999982</v>
      </c>
      <c r="UX2" s="10">
        <v>7635.7039000000004</v>
      </c>
      <c r="UY2" s="10">
        <v>7569.6697999999988</v>
      </c>
      <c r="UZ2" s="10">
        <v>7551.5038999999988</v>
      </c>
      <c r="VA2" s="10">
        <v>7534.3219000000008</v>
      </c>
      <c r="VB2" s="10">
        <v>7480.3026</v>
      </c>
      <c r="VC2" s="10">
        <v>7654.5534000000016</v>
      </c>
      <c r="VD2" s="10">
        <v>7524.7337999999982</v>
      </c>
      <c r="VE2" s="10">
        <v>7851</v>
      </c>
      <c r="VF2" s="10">
        <v>7903</v>
      </c>
      <c r="VG2" s="10">
        <v>8409.1695999999993</v>
      </c>
      <c r="VH2" s="10">
        <v>8457.6740000000009</v>
      </c>
      <c r="VI2" s="10">
        <v>8745.9681</v>
      </c>
      <c r="VJ2" s="10">
        <v>8636.1430000000018</v>
      </c>
      <c r="VK2" s="10">
        <v>8980.5917999999983</v>
      </c>
      <c r="VL2" s="10">
        <v>9170.1368999999995</v>
      </c>
      <c r="VM2" s="10">
        <v>9091.4836999999989</v>
      </c>
      <c r="VN2" s="10">
        <v>9331.3715999999968</v>
      </c>
      <c r="VO2" s="10">
        <v>9445.9521999999979</v>
      </c>
      <c r="VP2" s="10">
        <v>9314.9054000000015</v>
      </c>
      <c r="VQ2" s="10">
        <v>9204.5152999999991</v>
      </c>
      <c r="VR2" s="10">
        <v>9055.8719999999994</v>
      </c>
      <c r="VS2" s="10">
        <v>8963.2637000000013</v>
      </c>
      <c r="VT2" s="10">
        <v>8859.8646999999983</v>
      </c>
      <c r="VU2" s="10">
        <v>8449.2787000000008</v>
      </c>
      <c r="VV2" s="10">
        <v>8519.4992999999995</v>
      </c>
      <c r="VW2" s="10">
        <v>8649.3798999999999</v>
      </c>
      <c r="VX2" s="10">
        <v>8389.8615000000027</v>
      </c>
      <c r="VY2" s="10">
        <v>8424.1649999999991</v>
      </c>
      <c r="VZ2" s="10">
        <v>8622.4909999999982</v>
      </c>
      <c r="WA2" s="10">
        <v>8457.5336999999981</v>
      </c>
      <c r="WB2" s="10">
        <v>8710.1643999999997</v>
      </c>
      <c r="WC2" s="10">
        <v>8561.7971999999991</v>
      </c>
      <c r="WD2" s="10">
        <v>8551.2837999999992</v>
      </c>
      <c r="WE2" s="10">
        <v>8227.5663000000004</v>
      </c>
      <c r="WF2" s="10">
        <v>8127.4345999999996</v>
      </c>
      <c r="WG2" s="10">
        <v>8037.5163999999995</v>
      </c>
      <c r="WH2" s="10">
        <v>8136.3928999999998</v>
      </c>
      <c r="WI2" s="10">
        <v>8827.2400000000016</v>
      </c>
      <c r="WJ2" s="10">
        <v>8990.6856999999964</v>
      </c>
      <c r="WK2" s="10">
        <v>9248.0914999999986</v>
      </c>
      <c r="WL2" s="10">
        <v>9062.6586000000007</v>
      </c>
      <c r="WM2" s="10">
        <v>9046.9758000000002</v>
      </c>
      <c r="WN2" s="10">
        <v>9424.2011999999995</v>
      </c>
      <c r="WO2" s="10">
        <v>9541.5373</v>
      </c>
      <c r="WP2" s="10">
        <v>9688.9485999999997</v>
      </c>
      <c r="WQ2" s="10">
        <v>9579.9735999999975</v>
      </c>
      <c r="WR2" s="10">
        <v>9568.2486000000008</v>
      </c>
      <c r="WS2" s="10">
        <v>9697.0951999999997</v>
      </c>
      <c r="WT2" s="10">
        <v>9608.7691999999988</v>
      </c>
      <c r="WU2" s="10">
        <v>9564.7517000000007</v>
      </c>
      <c r="WV2" s="10">
        <v>9695.6051000000007</v>
      </c>
      <c r="WW2" s="10">
        <v>9773.1939999999995</v>
      </c>
      <c r="WX2" s="10">
        <v>9805.2453999999998</v>
      </c>
      <c r="WY2" s="10">
        <v>9122.8968000000023</v>
      </c>
      <c r="WZ2" s="10">
        <v>9065.0427000000036</v>
      </c>
      <c r="XA2" s="10">
        <v>9218.5569000000032</v>
      </c>
      <c r="XB2" s="10">
        <v>9312.6503000000012</v>
      </c>
      <c r="XC2" s="10">
        <v>9351.6144999999997</v>
      </c>
      <c r="XD2" s="10">
        <v>9268.9375999999993</v>
      </c>
      <c r="XE2" s="10">
        <v>9093.6978999999974</v>
      </c>
      <c r="XF2" s="10">
        <v>8912.2428</v>
      </c>
      <c r="XG2" s="10">
        <v>8929.3925999999992</v>
      </c>
      <c r="XH2" s="10">
        <v>9021.953300000001</v>
      </c>
      <c r="XI2" s="10">
        <v>8994.3538000000008</v>
      </c>
      <c r="XJ2" s="10">
        <v>9098.5410999999986</v>
      </c>
      <c r="XK2" s="10">
        <v>9129.155700000003</v>
      </c>
      <c r="XL2" s="10">
        <v>9165.1798999999992</v>
      </c>
      <c r="XM2" s="10">
        <v>9460.6165000000019</v>
      </c>
      <c r="XN2" s="10">
        <v>9591.5951999999997</v>
      </c>
      <c r="XO2" s="10">
        <v>9251.034599999999</v>
      </c>
      <c r="XP2" s="10">
        <v>8385.8095000000012</v>
      </c>
      <c r="XQ2" s="10">
        <v>8538.5973000000013</v>
      </c>
      <c r="XR2" s="10">
        <v>8637.6286</v>
      </c>
      <c r="XS2" s="10">
        <v>8623.615600000001</v>
      </c>
      <c r="XT2" s="10">
        <v>8572.9436000000005</v>
      </c>
      <c r="XU2" s="10">
        <v>8572.0573999999997</v>
      </c>
      <c r="XV2" s="10">
        <v>8722.0204999999969</v>
      </c>
      <c r="XW2" s="10">
        <v>8640.0218000000004</v>
      </c>
      <c r="XX2" s="10">
        <v>8543.3672000000006</v>
      </c>
      <c r="XY2" s="10">
        <v>8585.8556000000008</v>
      </c>
      <c r="XZ2" s="10">
        <v>8391.0774000000001</v>
      </c>
      <c r="YA2" s="10">
        <v>8406.2412999999997</v>
      </c>
      <c r="YB2" s="10">
        <v>8160.0784000000012</v>
      </c>
      <c r="YC2" s="10">
        <v>8286.019199999997</v>
      </c>
      <c r="YD2" s="10">
        <v>8159.8672999999981</v>
      </c>
      <c r="YE2" s="10">
        <v>8344.269199999997</v>
      </c>
      <c r="YF2" s="10">
        <v>8375.9607999999989</v>
      </c>
      <c r="YG2" s="10">
        <v>8454.1358</v>
      </c>
      <c r="YH2" s="10">
        <v>8360.0955999999987</v>
      </c>
      <c r="YI2" s="10">
        <v>7732.7804999999989</v>
      </c>
      <c r="YJ2" s="10">
        <v>7794.9863000000005</v>
      </c>
      <c r="YK2" s="10">
        <v>7950.4897999999994</v>
      </c>
      <c r="YL2" s="10">
        <v>7801.651499999999</v>
      </c>
      <c r="YM2" s="10">
        <v>7861.4929999999986</v>
      </c>
      <c r="YN2" s="10">
        <v>7896.4277509999993</v>
      </c>
      <c r="YO2" s="10">
        <v>7871.7101149999999</v>
      </c>
      <c r="YP2" s="10">
        <v>7951.9628149999999</v>
      </c>
      <c r="YQ2" s="10">
        <v>8103.0651970000008</v>
      </c>
      <c r="YR2" s="10">
        <v>8469.375654999998</v>
      </c>
      <c r="YS2" s="10">
        <v>8374.9065869999995</v>
      </c>
      <c r="YT2" s="10">
        <v>7842.0735369999984</v>
      </c>
      <c r="YU2" s="10">
        <v>8126.2395120000001</v>
      </c>
      <c r="YV2" s="10">
        <v>8107.0883120000008</v>
      </c>
      <c r="YW2" s="10">
        <v>8154.8782119999987</v>
      </c>
      <c r="YX2" s="10">
        <v>9129.0474119999963</v>
      </c>
      <c r="YY2" s="10">
        <v>7854.4760259999994</v>
      </c>
      <c r="YZ2" s="10">
        <v>7287.394659999999</v>
      </c>
      <c r="ZA2" s="10">
        <v>7472.4011660000015</v>
      </c>
      <c r="ZB2" s="10">
        <v>7567.4049054000006</v>
      </c>
      <c r="ZC2" s="10">
        <v>7652.1391370000001</v>
      </c>
      <c r="ZD2" s="10">
        <v>7512.4650569999985</v>
      </c>
      <c r="ZE2" s="10">
        <v>7605.8157480000009</v>
      </c>
      <c r="ZF2" s="10">
        <v>7605.0477480000018</v>
      </c>
      <c r="ZG2" s="10">
        <v>7726.6280740000002</v>
      </c>
      <c r="ZH2" s="10">
        <v>8080.6117500000028</v>
      </c>
      <c r="ZI2" s="10">
        <v>8224.3386520000004</v>
      </c>
      <c r="ZJ2" s="10">
        <v>8414.350698000002</v>
      </c>
      <c r="ZK2" s="10">
        <v>8396.9358979999997</v>
      </c>
      <c r="ZL2" s="10">
        <v>8480.5159585000001</v>
      </c>
      <c r="ZM2" s="10">
        <v>8444.3025379999999</v>
      </c>
      <c r="ZN2" s="10">
        <v>8668.1086379999997</v>
      </c>
      <c r="ZO2" s="10">
        <v>8439.0720380000021</v>
      </c>
      <c r="ZP2" s="10">
        <v>8399.4677380000012</v>
      </c>
      <c r="ZQ2" s="10">
        <v>8259.8605301999996</v>
      </c>
      <c r="ZR2" s="10">
        <v>8313.1960279999985</v>
      </c>
      <c r="ZS2" s="10">
        <v>8408.0949239999991</v>
      </c>
      <c r="ZT2" s="10">
        <v>8310.8991521999997</v>
      </c>
      <c r="ZU2" s="10">
        <v>8508.6384258800026</v>
      </c>
      <c r="ZV2" s="10">
        <v>8858.4210879999991</v>
      </c>
      <c r="ZW2" s="10">
        <v>8903.7811380000039</v>
      </c>
      <c r="ZX2" s="10">
        <v>8580.1881178000003</v>
      </c>
      <c r="ZY2" s="10">
        <v>8759.1071257999993</v>
      </c>
      <c r="ZZ2" s="10">
        <v>8754.9196257999974</v>
      </c>
      <c r="AAA2" s="10">
        <v>8781.4247557999988</v>
      </c>
      <c r="AAB2" s="10">
        <v>8679.4579217999999</v>
      </c>
      <c r="AAC2" s="10">
        <v>8796.2253717999993</v>
      </c>
      <c r="AAD2" s="10">
        <v>8472.3609245999996</v>
      </c>
      <c r="AAE2" s="10">
        <v>8162.6885051000017</v>
      </c>
      <c r="AAF2" s="10">
        <v>7762.6093217999996</v>
      </c>
      <c r="AAG2" s="10">
        <v>7914.8854785000012</v>
      </c>
      <c r="AAH2" s="10">
        <v>7803.4390900000008</v>
      </c>
      <c r="AAI2" s="10">
        <v>7989.1965899999996</v>
      </c>
      <c r="AAJ2" s="10">
        <v>8135.2375900000006</v>
      </c>
      <c r="AAK2" s="10">
        <v>7903.2241621000003</v>
      </c>
      <c r="AAL2" s="10">
        <v>8012.2011621000011</v>
      </c>
      <c r="AAM2" s="10">
        <v>8376.4757816000001</v>
      </c>
      <c r="AAN2" s="10">
        <v>8472.9268816000003</v>
      </c>
      <c r="AAO2" s="10">
        <v>8732.1021816000011</v>
      </c>
      <c r="AAP2" s="10">
        <v>9223.302581599999</v>
      </c>
      <c r="AAQ2" s="10">
        <v>9190.456481600002</v>
      </c>
      <c r="AAR2" s="10">
        <v>9277.6066153000011</v>
      </c>
      <c r="AAS2" s="10">
        <v>9370.8759872999999</v>
      </c>
      <c r="AAT2" s="10">
        <v>8968.0074372999989</v>
      </c>
      <c r="AAU2" s="10">
        <v>8955.5604772999995</v>
      </c>
      <c r="AAV2" s="10">
        <v>9253.2410753000022</v>
      </c>
      <c r="AAW2" s="10">
        <v>9163.7132632999965</v>
      </c>
      <c r="AAX2" s="10">
        <v>9178.4813417999994</v>
      </c>
      <c r="AAY2" s="10">
        <v>9091.8427207000004</v>
      </c>
      <c r="AAZ2" s="10">
        <v>9250.3541428999997</v>
      </c>
      <c r="ABA2" s="10">
        <v>9139.7729428999974</v>
      </c>
      <c r="ABB2" s="10">
        <v>9186.4212687999989</v>
      </c>
      <c r="ABC2" s="10">
        <v>8847.8712687999996</v>
      </c>
      <c r="ABD2" s="10">
        <v>8465.5230687999992</v>
      </c>
      <c r="ABE2" s="10">
        <v>8446.1400688000012</v>
      </c>
      <c r="ABF2" s="10">
        <v>8628.0608088999998</v>
      </c>
      <c r="ABG2" s="10">
        <v>8392.8212687999985</v>
      </c>
      <c r="ABH2" s="10">
        <v>8301.5564187999989</v>
      </c>
      <c r="ABI2" s="10">
        <v>7583.5122188000005</v>
      </c>
      <c r="ABJ2" s="10">
        <v>7583.5122187999978</v>
      </c>
      <c r="ABK2" s="10">
        <v>7579.8928188</v>
      </c>
      <c r="ABL2" s="10">
        <v>7538.3485850999987</v>
      </c>
      <c r="ABM2" s="10">
        <v>7251.7199468000017</v>
      </c>
      <c r="ABN2" s="10">
        <v>7279.1647968000025</v>
      </c>
      <c r="ABO2" s="10">
        <v>6978.0982788000001</v>
      </c>
      <c r="ABP2" s="10">
        <v>7032.5956726000004</v>
      </c>
      <c r="ABQ2" s="10">
        <v>7294.3851589999995</v>
      </c>
      <c r="ABR2" s="10">
        <v>7029.7067718000008</v>
      </c>
      <c r="ABS2" s="10">
        <v>7118.5675589999992</v>
      </c>
      <c r="ABT2" s="10">
        <v>7350.7815859999982</v>
      </c>
      <c r="ABU2" s="10">
        <v>7263.6542023999991</v>
      </c>
      <c r="ABV2" s="10">
        <v>7387.128774400001</v>
      </c>
      <c r="ABW2" s="10">
        <v>7215.8174109999991</v>
      </c>
      <c r="ABX2" s="10">
        <v>7196.421711</v>
      </c>
      <c r="ABY2" s="10">
        <v>7013.7264109999996</v>
      </c>
      <c r="ABZ2" s="10">
        <v>6892.5019110000003</v>
      </c>
      <c r="ACA2" s="10">
        <v>6886.5874110000013</v>
      </c>
      <c r="ACB2" s="10">
        <v>7017.8424009999999</v>
      </c>
      <c r="ACC2" s="10">
        <v>7091.5679010000013</v>
      </c>
      <c r="ACD2" s="10">
        <v>6598.7515009999997</v>
      </c>
      <c r="ACE2" s="10">
        <v>6643.1971510000012</v>
      </c>
      <c r="ACF2" s="10">
        <v>6645.7397009999995</v>
      </c>
      <c r="ACG2" s="10">
        <v>6834.9174428999986</v>
      </c>
      <c r="ACH2" s="314">
        <v>6723.4221955000003</v>
      </c>
      <c r="ACI2" s="314">
        <v>6911.8936089999997</v>
      </c>
      <c r="ACJ2" s="314">
        <v>6872.2493090000007</v>
      </c>
      <c r="ACK2" s="314">
        <v>6854.0741947000006</v>
      </c>
      <c r="ACL2" s="314">
        <v>6745.2140852000002</v>
      </c>
      <c r="ACM2" s="314">
        <v>6304.1551851999993</v>
      </c>
      <c r="ACN2" s="314">
        <v>6105.2605329999988</v>
      </c>
      <c r="ACO2" s="314">
        <v>5962.5777851000003</v>
      </c>
      <c r="ACP2" s="314">
        <v>6055.0325299999995</v>
      </c>
      <c r="ACQ2" s="314">
        <v>5993.0398299999997</v>
      </c>
      <c r="ACR2" s="314">
        <v>6028.5334300000004</v>
      </c>
      <c r="ACS2" s="314">
        <v>5875.6177799999996</v>
      </c>
      <c r="ACT2" s="314">
        <v>5800.8410800000001</v>
      </c>
      <c r="ACU2" s="314">
        <v>5771.9132799999998</v>
      </c>
      <c r="ACV2" s="314">
        <v>5950.0186799999992</v>
      </c>
      <c r="ACW2" s="314">
        <v>5913.2050799999979</v>
      </c>
      <c r="ACX2" s="314">
        <v>5847.1715451</v>
      </c>
      <c r="ACY2" s="314">
        <v>5703.4076109999996</v>
      </c>
      <c r="ACZ2" s="314">
        <v>5678.5679880000007</v>
      </c>
      <c r="ADA2" s="314">
        <v>5856.7951880000001</v>
      </c>
      <c r="ADB2" s="314">
        <v>6132.4315699999997</v>
      </c>
      <c r="ADC2" s="314">
        <v>6227.4635700000017</v>
      </c>
      <c r="ADD2" s="314">
        <v>6439.25227</v>
      </c>
      <c r="ADE2" s="314">
        <v>6439.8422873000009</v>
      </c>
      <c r="ADF2" s="314">
        <v>6375.4258873000008</v>
      </c>
      <c r="ADG2" s="314">
        <v>6664.6686661000012</v>
      </c>
      <c r="ADH2" s="314">
        <v>7352.740490000002</v>
      </c>
      <c r="ADI2" s="314">
        <v>7403.1691900000023</v>
      </c>
      <c r="ADJ2" s="314">
        <v>7626.3810900000017</v>
      </c>
      <c r="ADK2" s="314">
        <v>7594.32935</v>
      </c>
      <c r="ADL2" s="314">
        <v>7241.2570500000029</v>
      </c>
      <c r="ADM2" s="314">
        <v>6565.5348500000009</v>
      </c>
      <c r="ADN2" s="324">
        <v>6365.4121659999983</v>
      </c>
      <c r="ADO2" s="314">
        <v>6268.7707659999996</v>
      </c>
      <c r="ADP2" s="314">
        <v>6323.4500660000003</v>
      </c>
      <c r="ADQ2" s="314">
        <v>6323.4500660000022</v>
      </c>
      <c r="ADR2" s="314">
        <v>6234.6795726000018</v>
      </c>
      <c r="ADS2" s="314">
        <v>6217.5195726000011</v>
      </c>
      <c r="ADT2" s="328">
        <v>6156.184855999998</v>
      </c>
      <c r="ADU2" s="314">
        <v>6099.7400813000013</v>
      </c>
      <c r="ADV2" s="314">
        <v>6099.1174759999994</v>
      </c>
      <c r="ADW2" s="314">
        <v>6034.2606759999999</v>
      </c>
      <c r="ADX2" s="324">
        <v>5872.2964880999998</v>
      </c>
      <c r="ADY2" s="314">
        <v>5707.3804430000009</v>
      </c>
      <c r="ADZ2" s="314">
        <v>5864.8388430000005</v>
      </c>
      <c r="AEA2" s="314">
        <v>5864.7408430000014</v>
      </c>
      <c r="AEB2" s="314">
        <v>5824.4886447000008</v>
      </c>
      <c r="AEC2" s="314">
        <v>5805.7190000000001</v>
      </c>
      <c r="AED2" s="314">
        <v>5149.6572099999994</v>
      </c>
      <c r="AEE2" s="314">
        <v>5032.3258500000002</v>
      </c>
      <c r="AEF2" s="314">
        <v>5030.2896500000006</v>
      </c>
      <c r="AEG2" s="314">
        <v>5078.6867834000004</v>
      </c>
      <c r="AEH2" s="314">
        <v>5014.6393320000006</v>
      </c>
      <c r="AEI2" s="314">
        <v>4977.3452319999997</v>
      </c>
      <c r="AEJ2" s="314">
        <v>4992.9897820000006</v>
      </c>
      <c r="AEK2" s="314">
        <v>5115.4573120000005</v>
      </c>
      <c r="AEL2" s="324">
        <v>5388.6489619999993</v>
      </c>
      <c r="AEM2" s="314">
        <v>5211.9663007000017</v>
      </c>
      <c r="AEN2" s="314">
        <v>5296.247685600003</v>
      </c>
      <c r="AEO2" s="314">
        <v>5404.7697203999996</v>
      </c>
      <c r="AEP2" s="314">
        <v>5277.085320000002</v>
      </c>
      <c r="AEQ2" s="314">
        <v>5273</v>
      </c>
      <c r="AER2" s="314">
        <v>4879.8115200000011</v>
      </c>
      <c r="AES2" s="314">
        <v>6139.0012200000001</v>
      </c>
      <c r="AET2" s="314">
        <v>4592.6444605999986</v>
      </c>
      <c r="AEU2" s="314">
        <v>4374.8565859999999</v>
      </c>
      <c r="AEV2" s="314">
        <v>4425.4127860000008</v>
      </c>
      <c r="AEW2" s="314">
        <v>4091.8415859999991</v>
      </c>
      <c r="AEX2" s="314">
        <v>4197.1976859999995</v>
      </c>
      <c r="AEY2" s="314">
        <v>4438.7220420000003</v>
      </c>
      <c r="AEZ2" s="314">
        <v>4513</v>
      </c>
      <c r="AFA2" s="314">
        <v>4333.971841999999</v>
      </c>
      <c r="AFB2" s="314">
        <v>3999.5900419999998</v>
      </c>
      <c r="AFC2" s="314">
        <v>4356.9572419999986</v>
      </c>
      <c r="AFD2" s="314">
        <v>4408.7908420000003</v>
      </c>
      <c r="AFE2" s="314">
        <v>4281.9641419999989</v>
      </c>
      <c r="AFF2" s="314">
        <v>4429.664342</v>
      </c>
      <c r="AFG2" s="314">
        <v>4369.3295420000004</v>
      </c>
      <c r="AFH2" s="314">
        <v>4435.6407419999996</v>
      </c>
      <c r="AFI2" s="314">
        <v>4361</v>
      </c>
      <c r="AFJ2" s="314">
        <v>4358</v>
      </c>
      <c r="AFK2" s="314">
        <v>4558</v>
      </c>
      <c r="AFL2" s="314">
        <v>4948</v>
      </c>
      <c r="AFM2" s="314">
        <v>4659</v>
      </c>
      <c r="AFN2" s="314">
        <f>[1]Summary!$C$7</f>
        <v>4837.7183473000014</v>
      </c>
      <c r="AFO2" s="314">
        <v>4730</v>
      </c>
      <c r="AFP2" s="314">
        <v>4879</v>
      </c>
      <c r="AFQ2" s="314">
        <v>4971</v>
      </c>
      <c r="AFR2" s="314">
        <v>4853</v>
      </c>
      <c r="AFS2" s="314">
        <v>4913</v>
      </c>
      <c r="AFT2" s="314">
        <v>4783</v>
      </c>
      <c r="AFU2" s="314">
        <v>4898</v>
      </c>
      <c r="AFV2" s="314">
        <v>4893</v>
      </c>
      <c r="AFW2" s="314">
        <v>4806</v>
      </c>
      <c r="AFX2" s="314">
        <v>4726</v>
      </c>
      <c r="AFY2" s="314">
        <v>4600</v>
      </c>
      <c r="AFZ2" s="314">
        <v>4613</v>
      </c>
      <c r="AGA2" s="314">
        <v>4811</v>
      </c>
      <c r="AGB2" s="314">
        <v>4850</v>
      </c>
      <c r="AGC2" s="314">
        <v>4920</v>
      </c>
      <c r="AGD2" s="314">
        <v>5217</v>
      </c>
      <c r="AGE2" s="314">
        <v>5299</v>
      </c>
      <c r="AGF2" s="314">
        <v>5574</v>
      </c>
      <c r="AGG2" s="314">
        <v>5717</v>
      </c>
      <c r="AGH2" s="314">
        <v>5800</v>
      </c>
      <c r="AGI2" s="314">
        <v>5672</v>
      </c>
      <c r="AGJ2" s="314">
        <v>5633</v>
      </c>
      <c r="AGK2" s="314">
        <v>5876</v>
      </c>
      <c r="AGL2" s="314">
        <v>5767</v>
      </c>
      <c r="AGM2" s="314">
        <v>5641</v>
      </c>
      <c r="AGN2" s="314">
        <v>5331</v>
      </c>
      <c r="AGO2" s="314">
        <v>5232</v>
      </c>
      <c r="AGP2" s="314">
        <v>5380</v>
      </c>
      <c r="AGQ2" s="314">
        <v>5495</v>
      </c>
      <c r="AGR2" s="314">
        <v>5482</v>
      </c>
      <c r="AGS2" s="314">
        <v>5456</v>
      </c>
      <c r="AGT2" s="314">
        <v>5502</v>
      </c>
      <c r="AGU2" s="314">
        <v>5614</v>
      </c>
      <c r="AGV2" s="314">
        <v>5504</v>
      </c>
      <c r="AGW2" s="314">
        <v>5524</v>
      </c>
      <c r="AGX2" s="314">
        <v>5541</v>
      </c>
      <c r="AGY2" s="314">
        <v>5420</v>
      </c>
      <c r="AGZ2" s="314">
        <v>5502</v>
      </c>
      <c r="AHA2" s="314">
        <v>5411</v>
      </c>
      <c r="AHB2" s="314">
        <v>5388</v>
      </c>
      <c r="AHC2" s="314">
        <v>5512</v>
      </c>
      <c r="AHD2" s="314">
        <v>5396</v>
      </c>
      <c r="AHE2" s="314">
        <v>5357</v>
      </c>
      <c r="AHF2" s="314">
        <v>5278</v>
      </c>
      <c r="AHG2" s="328">
        <v>5114</v>
      </c>
      <c r="AHH2" s="314">
        <v>5108</v>
      </c>
      <c r="AHI2" s="314">
        <v>4863</v>
      </c>
      <c r="AHJ2" s="314">
        <v>5028</v>
      </c>
      <c r="AHK2" s="314">
        <v>4961</v>
      </c>
      <c r="AHL2" s="314">
        <v>5223</v>
      </c>
      <c r="AHM2" s="314">
        <v>4840</v>
      </c>
      <c r="AHN2" s="314">
        <v>4643</v>
      </c>
      <c r="AHO2" s="314">
        <v>4123</v>
      </c>
      <c r="AHP2" s="314">
        <v>4120</v>
      </c>
      <c r="AHQ2" s="314">
        <v>4380</v>
      </c>
      <c r="AHR2" s="314">
        <v>4371</v>
      </c>
      <c r="AHS2" s="332">
        <v>4355</v>
      </c>
      <c r="AHT2" s="332">
        <v>4420</v>
      </c>
      <c r="AHU2" s="332">
        <v>4703</v>
      </c>
      <c r="AHV2" s="332">
        <v>4454</v>
      </c>
      <c r="AHW2" s="332">
        <v>4569</v>
      </c>
      <c r="AHX2" s="332">
        <v>4630</v>
      </c>
      <c r="AHY2" s="332">
        <v>4557</v>
      </c>
      <c r="AHZ2" s="332">
        <v>4649</v>
      </c>
      <c r="AIA2" s="332">
        <v>4767</v>
      </c>
      <c r="AIB2" s="332">
        <v>4811</v>
      </c>
      <c r="AIC2" s="332">
        <v>4969</v>
      </c>
      <c r="AID2" s="332">
        <v>5066</v>
      </c>
      <c r="AIE2" s="332">
        <v>4903</v>
      </c>
      <c r="AIF2" s="332">
        <v>5022</v>
      </c>
      <c r="AIG2" s="332">
        <v>5070</v>
      </c>
      <c r="AIH2" s="332">
        <v>5301</v>
      </c>
      <c r="AII2" s="4"/>
      <c r="AIJ2" s="87" t="s">
        <v>63</v>
      </c>
      <c r="AIK2" s="314">
        <f>[1]Summary!$C$7</f>
        <v>4837.7183473000014</v>
      </c>
      <c r="AIL2" s="125">
        <f>IF((AIK2/AIR2)&gt;1,1,(AIK2/AIR2))</f>
        <v>0.46968139294174771</v>
      </c>
      <c r="AIM2" s="126">
        <f>IF((AIR2*0.9)-AIK2&lt;0,0,(AIR2*0.9)-AIK2)</f>
        <v>4432.2816526999986</v>
      </c>
      <c r="AIN2" s="127"/>
      <c r="AIO2" s="10">
        <f>IF((AIR2*0.95-AIK2)&lt;0,0,(AIR2*0.95-AIK2))-AIN2</f>
        <v>4947.2816526999986</v>
      </c>
      <c r="AIP2" s="87" t="s">
        <v>63</v>
      </c>
      <c r="AIQ2" s="8" t="s">
        <v>47</v>
      </c>
      <c r="AIR2" s="128">
        <f>MASTER_DATA!E5</f>
        <v>10300</v>
      </c>
      <c r="AIS2" s="7">
        <f>MASTER_DATA!F5</f>
        <v>60000</v>
      </c>
      <c r="AIT2" s="236" t="s">
        <v>450</v>
      </c>
      <c r="AIU2" t="s">
        <v>111</v>
      </c>
      <c r="AIV2" t="s">
        <v>112</v>
      </c>
      <c r="AIW2"/>
      <c r="AIX2"/>
      <c r="AIY2"/>
      <c r="AIZ2"/>
      <c r="AJD2" s="83" t="s">
        <v>44</v>
      </c>
      <c r="AJE2" s="129" t="s">
        <v>104</v>
      </c>
      <c r="AJF2" s="83" t="s">
        <v>78</v>
      </c>
      <c r="AJG2" s="83" t="s">
        <v>105</v>
      </c>
      <c r="AJH2" s="83" t="s">
        <v>106</v>
      </c>
      <c r="AJI2" s="83" t="s">
        <v>107</v>
      </c>
      <c r="AJJ2" s="83" t="s">
        <v>44</v>
      </c>
      <c r="AJK2" s="83" t="s">
        <v>62</v>
      </c>
      <c r="AJL2" s="83" t="s">
        <v>45</v>
      </c>
      <c r="AJM2" s="83" t="s">
        <v>108</v>
      </c>
    </row>
    <row r="3" spans="1:955" ht="30" x14ac:dyDescent="0.25">
      <c r="A3" s="6" t="s">
        <v>48</v>
      </c>
      <c r="B3" s="8" t="s">
        <v>47</v>
      </c>
      <c r="C3" s="7">
        <v>8000</v>
      </c>
      <c r="D3" s="10">
        <f>Sheet2!E3*0+(8000*0.9-9000*0.125)</f>
        <v>6075</v>
      </c>
      <c r="E3" s="10">
        <f t="shared" ref="E3:J3" si="0">D3</f>
        <v>6075</v>
      </c>
      <c r="F3" s="10">
        <f t="shared" si="0"/>
        <v>6075</v>
      </c>
      <c r="G3" s="10">
        <f t="shared" si="0"/>
        <v>6075</v>
      </c>
      <c r="H3" s="10">
        <f t="shared" si="0"/>
        <v>6075</v>
      </c>
      <c r="I3" s="10">
        <f t="shared" si="0"/>
        <v>6075</v>
      </c>
      <c r="J3" s="10">
        <f t="shared" si="0"/>
        <v>6075</v>
      </c>
      <c r="K3" s="10">
        <f t="shared" ref="K3:P3" si="1">J3</f>
        <v>6075</v>
      </c>
      <c r="L3" s="10">
        <f t="shared" si="1"/>
        <v>6075</v>
      </c>
      <c r="M3" s="10">
        <f t="shared" si="1"/>
        <v>6075</v>
      </c>
      <c r="N3" s="10">
        <f t="shared" si="1"/>
        <v>6075</v>
      </c>
      <c r="O3" s="10">
        <f t="shared" si="1"/>
        <v>6075</v>
      </c>
      <c r="P3" s="10">
        <f t="shared" si="1"/>
        <v>6075</v>
      </c>
      <c r="Q3" s="10">
        <f t="shared" ref="Q3:V3" si="2">P3</f>
        <v>6075</v>
      </c>
      <c r="R3" s="10">
        <f t="shared" si="2"/>
        <v>6075</v>
      </c>
      <c r="S3" s="10">
        <f t="shared" si="2"/>
        <v>6075</v>
      </c>
      <c r="T3" s="10">
        <f t="shared" si="2"/>
        <v>6075</v>
      </c>
      <c r="U3" s="10">
        <f t="shared" si="2"/>
        <v>6075</v>
      </c>
      <c r="V3" s="10">
        <f t="shared" si="2"/>
        <v>6075</v>
      </c>
      <c r="W3" s="10"/>
      <c r="X3" s="10"/>
      <c r="Y3" s="10">
        <f>V3</f>
        <v>6075</v>
      </c>
      <c r="Z3" s="10">
        <f t="shared" ref="Z3:AE3" si="3">Y3</f>
        <v>6075</v>
      </c>
      <c r="AA3" s="10">
        <f t="shared" si="3"/>
        <v>6075</v>
      </c>
      <c r="AB3" s="10">
        <f t="shared" si="3"/>
        <v>6075</v>
      </c>
      <c r="AC3" s="10">
        <f t="shared" si="3"/>
        <v>6075</v>
      </c>
      <c r="AD3" s="10">
        <f t="shared" si="3"/>
        <v>6075</v>
      </c>
      <c r="AE3" s="10">
        <f t="shared" si="3"/>
        <v>6075</v>
      </c>
      <c r="AF3" s="10">
        <f t="shared" ref="AF3:AR3" si="4">AE3</f>
        <v>6075</v>
      </c>
      <c r="AG3" s="10">
        <f t="shared" si="4"/>
        <v>6075</v>
      </c>
      <c r="AH3" s="10">
        <f t="shared" si="4"/>
        <v>6075</v>
      </c>
      <c r="AI3" s="10">
        <f t="shared" si="4"/>
        <v>6075</v>
      </c>
      <c r="AJ3" s="10">
        <f t="shared" si="4"/>
        <v>6075</v>
      </c>
      <c r="AK3" s="10">
        <f t="shared" si="4"/>
        <v>6075</v>
      </c>
      <c r="AL3" s="10">
        <f t="shared" si="4"/>
        <v>6075</v>
      </c>
      <c r="AM3" s="10">
        <f t="shared" si="4"/>
        <v>6075</v>
      </c>
      <c r="AN3" s="10">
        <f t="shared" si="4"/>
        <v>6075</v>
      </c>
      <c r="AO3" s="10">
        <f t="shared" si="4"/>
        <v>6075</v>
      </c>
      <c r="AP3" s="10">
        <f t="shared" si="4"/>
        <v>6075</v>
      </c>
      <c r="AQ3" s="10">
        <f t="shared" si="4"/>
        <v>6075</v>
      </c>
      <c r="AR3" s="10">
        <f t="shared" si="4"/>
        <v>6075</v>
      </c>
      <c r="AS3" s="10">
        <f>11030-AS5-(12000*0.125)</f>
        <v>8558</v>
      </c>
      <c r="AT3" s="10">
        <f>11097-AT5-(12000*0.125)</f>
        <v>8507</v>
      </c>
      <c r="AU3" s="10">
        <f>11096-AU5-(12000*0.125)</f>
        <v>8537</v>
      </c>
      <c r="AV3" s="10">
        <f>10939-AV5-(12000*0.125)</f>
        <v>8441</v>
      </c>
      <c r="AW3" s="10">
        <f>9506-AW5-(12000*0.125)</f>
        <v>7008</v>
      </c>
      <c r="AX3" s="10">
        <f>9300-AX5-(12000*0.125)</f>
        <v>6817</v>
      </c>
      <c r="AY3" s="10">
        <f>9477-AY5-(12000*0.125)</f>
        <v>6994</v>
      </c>
      <c r="AZ3" s="10">
        <f>9450-AZ5-(12000*0.125)</f>
        <v>6985</v>
      </c>
      <c r="BA3" s="10">
        <f>9499-BA5-(12000*0.125)</f>
        <v>6907</v>
      </c>
      <c r="BB3" s="10">
        <f>9769-BB5-(12000*0.125)</f>
        <v>7149</v>
      </c>
      <c r="BC3" s="10">
        <f>9929-BC5-(12000*0.125)</f>
        <v>7313</v>
      </c>
      <c r="BD3" s="10">
        <f>9693-BD5-(2000*0.125)</f>
        <v>8384</v>
      </c>
      <c r="BE3" s="10">
        <f>9694-BE5-(2000*0.125)</f>
        <v>8439</v>
      </c>
      <c r="BF3" s="10">
        <f>9451-BF5-(2000*0.125*0)</f>
        <v>8502</v>
      </c>
      <c r="BG3" s="10">
        <f>9381-BG5-(2000*0.125*0)</f>
        <v>8459</v>
      </c>
      <c r="BH3" s="10">
        <f>10124-BH5-(2000*0.125*0)</f>
        <v>9200</v>
      </c>
      <c r="BI3" s="10">
        <f>10172-BI5-(2000*0.125*0)</f>
        <v>9286</v>
      </c>
      <c r="BJ3" s="10">
        <f>10226-BJ5-(2000*0.125*0)</f>
        <v>9336</v>
      </c>
      <c r="BK3" s="10">
        <f>10122-BK5-(2000*0.125*0)</f>
        <v>9241</v>
      </c>
      <c r="BL3" s="10">
        <f>10140-BL5-(2000*0.125*0)</f>
        <v>9163</v>
      </c>
      <c r="BM3" s="10">
        <f>10184-BM5-(2000*0.125*0)</f>
        <v>9204</v>
      </c>
      <c r="BN3" s="10">
        <f>10398-BN5-(2000*0.125*0)</f>
        <v>9455</v>
      </c>
      <c r="BO3" s="10">
        <f>10138-BO5-(2000*0.125*0)</f>
        <v>9196</v>
      </c>
      <c r="BP3" s="10">
        <f>10210-BP5-(2000*0.125*0)</f>
        <v>9268</v>
      </c>
      <c r="BQ3" s="10">
        <f>10328-BQ5-(2000*0.125*0)</f>
        <v>9375</v>
      </c>
      <c r="BR3" s="10">
        <f>10116-BR5-(2000*0.125*0)</f>
        <v>9156</v>
      </c>
      <c r="BS3" s="10">
        <f>10106-BS5-(2000*0.125*0)</f>
        <v>9131</v>
      </c>
      <c r="BT3" s="10">
        <f>9980-BT5-(2000*0.125*0)</f>
        <v>9001</v>
      </c>
      <c r="BU3" s="10">
        <f>9501-BU5-(2000*0.125*0)</f>
        <v>8549</v>
      </c>
      <c r="BV3" s="10">
        <f>9493-BV5-(2000*0.125*0)</f>
        <v>8552</v>
      </c>
      <c r="BW3" s="10">
        <f>9645-BW5-(2000*0.125*0)</f>
        <v>8686</v>
      </c>
      <c r="BX3" s="10">
        <f>9531-BX5-(2000*0.125*0)</f>
        <v>8569</v>
      </c>
      <c r="BY3" s="10">
        <f>9584-BY5-(2000*0.125*0)</f>
        <v>8597</v>
      </c>
      <c r="BZ3" s="10">
        <v>8472</v>
      </c>
      <c r="CA3" s="10">
        <f>9442-CA5-(2000*0.125*0)</f>
        <v>8539</v>
      </c>
      <c r="CB3" s="10">
        <f>9439-CB5-(2000*0.125*0)</f>
        <v>8530</v>
      </c>
      <c r="CC3" s="10">
        <f>9651-CC5-(2000*0.125*0)</f>
        <v>8754</v>
      </c>
      <c r="CD3" s="10">
        <f>9650-CD5-(2000*0.125*0)</f>
        <v>8772</v>
      </c>
      <c r="CE3" s="10">
        <f>9427-CE5-(2000*0.125*0)</f>
        <v>8554</v>
      </c>
      <c r="CF3" s="10">
        <f>9432-CF5-(2000*0.125*0)</f>
        <v>8562</v>
      </c>
      <c r="CG3" s="10">
        <f>9487-CG5-(2000*0.125*0)</f>
        <v>8622</v>
      </c>
      <c r="CH3" s="10">
        <f>9434-CH5-(2000*0.125*0)</f>
        <v>8564</v>
      </c>
      <c r="CI3" s="10">
        <f>9434-CI5-(2000*0.125*0)</f>
        <v>8567</v>
      </c>
      <c r="CJ3" s="10">
        <f>9288-CJ5-(2000*0.125*0)</f>
        <v>8418</v>
      </c>
      <c r="CK3" s="10">
        <f>9437-CK5-(2000*0.125*0)</f>
        <v>8557</v>
      </c>
      <c r="CL3" s="10">
        <f>9485-CL5-(2000*0.125*0)</f>
        <v>8491</v>
      </c>
      <c r="CM3" s="10">
        <f>9758-CM5-(2000*0.125*0)</f>
        <v>8981</v>
      </c>
      <c r="CN3" s="10">
        <f>9854-CN5-(2000*0.125*0)</f>
        <v>8880</v>
      </c>
      <c r="CO3" s="10">
        <f>9815-CO5-(2000*0.125*0)</f>
        <v>8776</v>
      </c>
      <c r="CP3" s="10">
        <f>11486-CP5-(2000*0.125*0)</f>
        <v>10319</v>
      </c>
      <c r="CQ3" s="10">
        <f>11458-CQ5-(2000*0.125*0)</f>
        <v>10289</v>
      </c>
      <c r="CR3" s="10">
        <f>11606-CR5-(2000*0.125*0)</f>
        <v>10459</v>
      </c>
      <c r="CS3" s="10">
        <f>11338-CS5-(2000*0.125*0)</f>
        <v>10162</v>
      </c>
      <c r="CT3" s="10">
        <f>11468-CT5-(2000*0.125*0)</f>
        <v>10279</v>
      </c>
      <c r="CU3" s="10">
        <f>11559-CU5-(2000*0.125*0)</f>
        <v>10257</v>
      </c>
      <c r="CV3" s="10">
        <f>11488-CV5-(2000*0.125*0)</f>
        <v>10204</v>
      </c>
      <c r="CW3" s="10">
        <f>11722-CW5-(2000*0.125*0)</f>
        <v>10811</v>
      </c>
      <c r="CX3" s="10">
        <f>11654-CX5-(2000*0.125*0)</f>
        <v>11654</v>
      </c>
      <c r="CY3" s="10">
        <f>11650-CY5-(2000*0.125*0)</f>
        <v>10826</v>
      </c>
      <c r="CZ3" s="10">
        <f>11863-CZ5-(2000*0.125*0)</f>
        <v>11863</v>
      </c>
      <c r="DA3" s="10">
        <f>12360-DA5-(2000*0.125*0)</f>
        <v>11208</v>
      </c>
      <c r="DB3" s="10">
        <f>12255-DB5-(2000*0.125*0)</f>
        <v>11084</v>
      </c>
      <c r="DC3" s="10">
        <f>12272-DC5-(2000*0.125*0)</f>
        <v>11238</v>
      </c>
      <c r="DD3" s="10">
        <f>12260-DD5-(2000*0.125*0)</f>
        <v>11296</v>
      </c>
      <c r="DE3" s="10">
        <f>12310-DE5-(2000*0.125*0)</f>
        <v>11358</v>
      </c>
      <c r="DF3" s="10">
        <f>12253-DF5-(2000*0.125*0)</f>
        <v>12253</v>
      </c>
      <c r="DG3" s="10">
        <f>12235-DG5-(2000*0.125*0)</f>
        <v>12235</v>
      </c>
      <c r="DH3" s="10">
        <f>12286-DH5-(2000*0.125*0)</f>
        <v>12286</v>
      </c>
      <c r="DI3" s="10">
        <f>12218-DI5-(2000*0.125*0)</f>
        <v>12218</v>
      </c>
      <c r="DJ3" s="10">
        <f>11919-DJ5-(2000*0.125*0)</f>
        <v>10412</v>
      </c>
      <c r="DK3" s="10">
        <f>11840-DK5-(2000*0.125*0)</f>
        <v>11840</v>
      </c>
      <c r="DL3" s="10">
        <f>11945-DL5-(2000*0.125*0)</f>
        <v>10436</v>
      </c>
      <c r="DM3" s="10">
        <f>12103-DM5-(2000*0.125*0)</f>
        <v>10287</v>
      </c>
      <c r="DN3" s="10">
        <f>12399-DN5-(2000*0.125*0)</f>
        <v>10688</v>
      </c>
      <c r="DO3" s="10">
        <f>12399-DO5-(2000*0.125*0)</f>
        <v>12399</v>
      </c>
      <c r="DP3" s="10">
        <f>11918-DP5-(2000*0.125*0)</f>
        <v>10117</v>
      </c>
      <c r="DQ3" s="10">
        <f>11918-DQ5-(2000*0.125*0)</f>
        <v>11918</v>
      </c>
      <c r="DR3" s="10">
        <f>12106-DR5-(2000*0.125*0)</f>
        <v>10373</v>
      </c>
      <c r="DS3" s="10">
        <f>12054-DS5-(2000*0.125*0)</f>
        <v>12054</v>
      </c>
      <c r="DT3" s="10">
        <f>11889-DT5-(2000*0.125*0)</f>
        <v>10176</v>
      </c>
      <c r="DU3" s="10">
        <f>11883-DU5-(2000*0.125*0)</f>
        <v>10270</v>
      </c>
      <c r="DV3" s="10">
        <f>11900-DV5-(2000*0.125*0)</f>
        <v>10245</v>
      </c>
      <c r="DW3" s="10">
        <f>11895-DW5-(2000*0.125*0)</f>
        <v>10260</v>
      </c>
      <c r="DX3" s="10">
        <f>11589-DX5-(2000*0.125*0)</f>
        <v>9996</v>
      </c>
      <c r="DY3" s="10">
        <f>11489-DY5-(2000*0.125*0)</f>
        <v>9917</v>
      </c>
      <c r="DZ3" s="10">
        <f>11666-DZ5-(2000*0.125*0)</f>
        <v>10125</v>
      </c>
      <c r="EA3" s="10">
        <f>11727-EA5-(2000*0.125*0)</f>
        <v>10177.26</v>
      </c>
      <c r="EB3" s="10">
        <f>11707-EB5-(2000*0.125*0)</f>
        <v>11707</v>
      </c>
      <c r="EC3" s="10">
        <f>11595-EC5-(2000*0.125*0)</f>
        <v>11595</v>
      </c>
      <c r="ED3" s="10">
        <f>11630-ED5-(2000*0.125*0)</f>
        <v>10091</v>
      </c>
      <c r="EE3" s="10">
        <f>11794-EE5-(2000*0.125*0)</f>
        <v>10237</v>
      </c>
      <c r="EF3" s="10">
        <f>11881-EF5-(2000*0.125*0)</f>
        <v>10324</v>
      </c>
      <c r="EG3" s="10">
        <f>11867-EG5-(2000*0.125*0)</f>
        <v>10284</v>
      </c>
      <c r="EH3" s="10">
        <f>12018-EH5-(2000*0.125*0)</f>
        <v>10456</v>
      </c>
      <c r="EI3" s="10">
        <f>12021-EI5-(2000*0.125*0)</f>
        <v>10436</v>
      </c>
      <c r="EJ3" s="10">
        <f>11758-EJ5-(2000*0.125*0)</f>
        <v>10244</v>
      </c>
      <c r="EK3" s="10">
        <f>11565-EK5-(2000*0.125*0)</f>
        <v>10148</v>
      </c>
      <c r="EL3" s="10">
        <f>11565-EL5-(2000*0.125*0)</f>
        <v>11565</v>
      </c>
      <c r="EM3" s="10">
        <f>11565-EM5-(2000*0.125*0)</f>
        <v>11565</v>
      </c>
      <c r="EN3" s="10">
        <f>10874-EN5-(2000*0.125*0)</f>
        <v>9441</v>
      </c>
      <c r="EO3" s="10">
        <f>10885-EO5-(2000*0.125*0)</f>
        <v>9449</v>
      </c>
      <c r="EP3" s="10">
        <f>10958-EP5-(2000*0.125*0)</f>
        <v>9535</v>
      </c>
      <c r="EQ3" s="10">
        <f>10993-EQ5-(2000*0.125*0)</f>
        <v>10993</v>
      </c>
      <c r="ER3" s="10">
        <f>11216-ER5-(2000*0.125*0)</f>
        <v>9776</v>
      </c>
      <c r="ES3" s="10">
        <f>11414-ES5-(2000*0.125*0)</f>
        <v>10081</v>
      </c>
      <c r="ET3" s="10">
        <f>11387-ET5-(2000*0.125*0)</f>
        <v>11387</v>
      </c>
      <c r="EU3" s="10">
        <f>9519-EU5-(2000*0.125*0)</f>
        <v>8194</v>
      </c>
      <c r="EV3" s="10">
        <f>9516-EV5-(2000*0.125*0)</f>
        <v>8211</v>
      </c>
      <c r="EW3" s="10">
        <f>9684-EW5-(2000*0.125*0)</f>
        <v>8247</v>
      </c>
      <c r="EX3" s="10">
        <f>9684-EX5-(2000*0.125*0)</f>
        <v>8313</v>
      </c>
      <c r="EY3" s="10">
        <f>10039-EY5-(2000*0.125*0)</f>
        <v>8581</v>
      </c>
      <c r="EZ3" s="10">
        <f>10718-EZ5-(2000*0.125*0)</f>
        <v>9093</v>
      </c>
      <c r="FA3" s="10">
        <f>10832-FA5-(2000*0.125*0)</f>
        <v>9201</v>
      </c>
      <c r="FB3" s="10">
        <f>11093-FB5-(2000*0.125*0)</f>
        <v>9494</v>
      </c>
      <c r="FC3" s="10">
        <f>11093-FC5-(2000*0.125*0)</f>
        <v>11093</v>
      </c>
      <c r="FD3" s="10">
        <f>11183-FD5-(2000*0.125*0)</f>
        <v>9597</v>
      </c>
      <c r="FE3" s="10">
        <f>10626-FE5-(2000*0.125*0)</f>
        <v>9112</v>
      </c>
      <c r="FF3" s="10">
        <f>10517-FF5-(2000*0.125*0)</f>
        <v>9010</v>
      </c>
      <c r="FG3" s="10">
        <f>10503-FG5-(2000*0.125*0)</f>
        <v>9079</v>
      </c>
      <c r="FH3" s="10">
        <f>10503-FH5-(2000*0.125*0)</f>
        <v>10503</v>
      </c>
      <c r="FI3" s="10">
        <f>11037-FI5-(2000*0.125*0)</f>
        <v>9549</v>
      </c>
      <c r="FJ3" s="10">
        <f>10569-FJ5-(2000*0.125*0)</f>
        <v>9077</v>
      </c>
      <c r="FK3" s="10">
        <f>10287-FK5-(2000*0.125*0)</f>
        <v>8792</v>
      </c>
      <c r="FL3" s="10">
        <f>10419-FL5-(2000*0.125*0)</f>
        <v>8904</v>
      </c>
      <c r="FM3" s="10">
        <f>10440-FM5-(2000*0.125*0)</f>
        <v>8975</v>
      </c>
      <c r="FN3" s="10">
        <f>10380-FN5-(2000*0.125*0)</f>
        <v>8912</v>
      </c>
      <c r="FO3" s="10">
        <f>9920-FO5-(2000*0.125*0)</f>
        <v>8496</v>
      </c>
      <c r="FP3" s="10">
        <f>9969-FP5-(2000*0.125*0)</f>
        <v>8497</v>
      </c>
      <c r="FQ3" s="10">
        <f>10028-FQ5-(2000*0.125*0)</f>
        <v>8612</v>
      </c>
      <c r="FR3" s="10">
        <f>10252-FR5-(2000*0.125*0)</f>
        <v>8880</v>
      </c>
      <c r="FS3" s="10">
        <f>10286-FS5-(2000*0.125*0)</f>
        <v>8944</v>
      </c>
      <c r="FT3" s="10">
        <f>10286-FT5-(2000*0.125*0)</f>
        <v>10286</v>
      </c>
      <c r="FU3" s="10">
        <f>10036-FU5-(2000*0.125*0)</f>
        <v>8693</v>
      </c>
      <c r="FV3" s="10">
        <f>9968-FV5-(2000*0.125*0)</f>
        <v>8604</v>
      </c>
      <c r="FW3" s="10">
        <f>9299-FW5-(2000*0.125*0)</f>
        <v>7888</v>
      </c>
      <c r="FX3" s="10">
        <f>9496-FX5-(2000*0.125*0)</f>
        <v>8140</v>
      </c>
      <c r="FY3" s="10">
        <f>9496-FY5-(2000*0.125*0)</f>
        <v>9496</v>
      </c>
      <c r="FZ3" s="10">
        <f>9145-FZ5-(2000*0.125*0)</f>
        <v>9145</v>
      </c>
      <c r="GA3" s="10">
        <f>9099-GA5-(2000*0.125*0)</f>
        <v>7704</v>
      </c>
      <c r="GB3" s="10">
        <f>9334-GB5-(2000*0.125*0)</f>
        <v>7956</v>
      </c>
      <c r="GC3" s="10">
        <f>9133-GC5-(2000*0.125*0)</f>
        <v>7666</v>
      </c>
      <c r="GD3" s="10">
        <f>9022-GD5-(2000*0.125*0)</f>
        <v>7646</v>
      </c>
      <c r="GE3" s="10">
        <f>8977-GE5-(2000*0.125*0)</f>
        <v>7584</v>
      </c>
      <c r="GF3" s="10">
        <f>8984-GF5-(2000*0.125*0)</f>
        <v>7624</v>
      </c>
      <c r="GG3" s="10">
        <f>9052-GG5-(2000*0.125*0)</f>
        <v>7639</v>
      </c>
      <c r="GH3" s="10">
        <f>9210-GH5-(2000*0.125*0)</f>
        <v>7888</v>
      </c>
      <c r="GI3" s="10">
        <f>9315-GI5-(2000*0.125*0)</f>
        <v>7993</v>
      </c>
      <c r="GJ3" s="10">
        <f>9086-GJ5-(2000*0.125*0)</f>
        <v>7764</v>
      </c>
      <c r="GK3" s="10">
        <f>9075-GK5-(2000*0.125*0)</f>
        <v>7789</v>
      </c>
      <c r="GL3" s="10">
        <f>9497-GL5-(2000*0.125*0)</f>
        <v>7983</v>
      </c>
      <c r="GM3" s="10">
        <f>8848-GM5-(2000*0.125*0)</f>
        <v>7337</v>
      </c>
      <c r="GN3" s="10">
        <f>8775-GN5-(2000*0.125*0)</f>
        <v>7283</v>
      </c>
      <c r="GO3" s="10">
        <f>8671-GO5-(2000*0.125*0)</f>
        <v>7179</v>
      </c>
      <c r="GP3" s="10">
        <f>8944-GP5-(2000*0.125*0)</f>
        <v>7469</v>
      </c>
      <c r="GQ3" s="10">
        <f>9065-GQ5-(2000*0.125*0)</f>
        <v>7578</v>
      </c>
      <c r="GR3" s="10">
        <f>9277-GR5-(2000*0.125*0)</f>
        <v>7790</v>
      </c>
      <c r="GS3" s="10">
        <f>9345-GS5-(2000*0.125*0)</f>
        <v>7882</v>
      </c>
      <c r="GT3" s="10">
        <f>9633-GT5-(2000*0.125*0)</f>
        <v>8233</v>
      </c>
      <c r="GU3" s="10">
        <f>9394-GU5-(2000*0.125*0)</f>
        <v>8000</v>
      </c>
      <c r="GV3" s="10">
        <f>9696-GV5-(2000*0.125*0)</f>
        <v>8259</v>
      </c>
      <c r="GW3" s="10">
        <f>9552-GW5-(2000*0.125*0)</f>
        <v>8112</v>
      </c>
      <c r="GX3" s="10">
        <f>9684-GX5-(2000*0.125*0)</f>
        <v>8256</v>
      </c>
      <c r="GY3" s="10">
        <f>9421-GY5-(2000*0.125*0)</f>
        <v>8019</v>
      </c>
      <c r="GZ3" s="10">
        <f>9563-GZ5-(2000*0.125*0)</f>
        <v>8161</v>
      </c>
      <c r="HA3" s="10">
        <f>9800-HA5-(2000*0.125*0)</f>
        <v>8409</v>
      </c>
      <c r="HB3" s="10">
        <f>9800-HB5-(2000*0.125*0)</f>
        <v>8409</v>
      </c>
      <c r="HC3" s="10">
        <f>9924-HC5-(2000*0.125*0)</f>
        <v>8539</v>
      </c>
      <c r="HD3" s="10">
        <f>10307-HD5-(2000*0.125*0)</f>
        <v>8916</v>
      </c>
      <c r="HE3" s="10">
        <f>10438-HE5-(2000*0.125*0)</f>
        <v>9057</v>
      </c>
      <c r="HF3" s="10">
        <f>10221-HF5-(2000*0.125*0)</f>
        <v>8848</v>
      </c>
      <c r="HG3" s="10">
        <f>10358-HG5-(2000*0.125*0)</f>
        <v>8823</v>
      </c>
      <c r="HH3" s="10">
        <f>10715-HH5-(2000*0.125*0)</f>
        <v>9111</v>
      </c>
      <c r="HI3" s="10">
        <f>10740-HI5-(2000*0.125*0)</f>
        <v>9135</v>
      </c>
      <c r="HJ3" s="10">
        <f>10868-HJ5-(2000*0.125*0)</f>
        <v>9252</v>
      </c>
      <c r="HK3" s="10">
        <f>10815-HK5-(2000*0.125*0)</f>
        <v>9200</v>
      </c>
      <c r="HL3" s="10">
        <f>10285-HL5-(2000*0.125*0)</f>
        <v>8607</v>
      </c>
      <c r="HM3" s="10">
        <f>10655-HM5-(2000*0.125*0)</f>
        <v>8985</v>
      </c>
      <c r="HN3" s="10">
        <f>10684-HN5-(2000*0.125*0)</f>
        <v>9005</v>
      </c>
      <c r="HO3" s="10">
        <f>9925-HO5</f>
        <v>9182</v>
      </c>
      <c r="HP3" s="10">
        <f>9736-HP5</f>
        <v>8899</v>
      </c>
      <c r="HQ3" s="10">
        <f>9769-HQ5</f>
        <v>8811</v>
      </c>
      <c r="HR3" s="10">
        <f>9722-HR5</f>
        <v>8837</v>
      </c>
      <c r="HS3" s="10">
        <f>9669-HS5</f>
        <v>8611</v>
      </c>
      <c r="HT3" s="10">
        <f>10061-HT5</f>
        <v>8993</v>
      </c>
      <c r="HU3" s="10">
        <f>10429-HU5</f>
        <v>9420</v>
      </c>
      <c r="HV3" s="10">
        <f>10493-HV5</f>
        <v>9493.32</v>
      </c>
      <c r="HW3" s="10">
        <f>9640-HW5</f>
        <v>8796</v>
      </c>
      <c r="HX3" s="10">
        <f>9637-HX5</f>
        <v>8743</v>
      </c>
      <c r="HY3" s="10">
        <f>9745-HY5</f>
        <v>8884</v>
      </c>
      <c r="HZ3" s="10">
        <f>9968-HZ5</f>
        <v>9155</v>
      </c>
      <c r="IA3" s="10">
        <f>9103-IA5</f>
        <v>8340</v>
      </c>
      <c r="IB3" s="10">
        <f>9097-IB5</f>
        <v>8255</v>
      </c>
      <c r="IC3" s="10">
        <f>9253-IC5</f>
        <v>8554</v>
      </c>
      <c r="ID3" s="10">
        <f>9097-ID5</f>
        <v>8351</v>
      </c>
      <c r="IE3" s="10">
        <f>9190-IE5</f>
        <v>8477</v>
      </c>
      <c r="IF3" s="10">
        <f>8464-IF5</f>
        <v>7839</v>
      </c>
      <c r="IG3" s="10">
        <f>8414-IG5</f>
        <v>7739</v>
      </c>
      <c r="IH3" s="10">
        <f>9053-IH5</f>
        <v>8327</v>
      </c>
      <c r="II3" s="10">
        <f>9071-II5</f>
        <v>8263</v>
      </c>
      <c r="IJ3" s="10">
        <f>9142-IJ5</f>
        <v>8387</v>
      </c>
      <c r="IK3" s="10">
        <f>8883-IK5</f>
        <v>8191</v>
      </c>
      <c r="IL3" s="10">
        <f>8887-IL5</f>
        <v>8180</v>
      </c>
      <c r="IM3" s="10">
        <f>9179-IM5</f>
        <v>8472</v>
      </c>
      <c r="IN3" s="10">
        <f>8837-IN5</f>
        <v>8230</v>
      </c>
      <c r="IO3" s="10">
        <f>8721-IO5</f>
        <v>8125</v>
      </c>
      <c r="IP3" s="10">
        <f>8964-IP5</f>
        <v>8368</v>
      </c>
      <c r="IQ3" s="10">
        <f>8963-IQ5</f>
        <v>8391</v>
      </c>
      <c r="IR3" s="10">
        <f>8774-IR5</f>
        <v>8223</v>
      </c>
      <c r="IS3" s="10">
        <f>9360-IS5</f>
        <v>8809</v>
      </c>
      <c r="IT3" s="10">
        <f>9360-IT5</f>
        <v>8809</v>
      </c>
      <c r="IU3" s="10">
        <f>9360-IU5</f>
        <v>8809</v>
      </c>
      <c r="IV3" s="10">
        <f>9360-IV5</f>
        <v>8809</v>
      </c>
      <c r="IW3" s="10">
        <f>9360-IW5</f>
        <v>8809</v>
      </c>
      <c r="IX3" s="10">
        <f>9658-IX5</f>
        <v>9107</v>
      </c>
      <c r="IY3" s="10">
        <f>9708-IY5</f>
        <v>9157</v>
      </c>
      <c r="IZ3" s="10">
        <f>10033-IZ5</f>
        <v>9455</v>
      </c>
      <c r="JA3" s="10">
        <f>10750-JA5</f>
        <v>9984</v>
      </c>
      <c r="JB3" s="10">
        <f>10735-JB5</f>
        <v>9898</v>
      </c>
      <c r="JC3" s="10">
        <f>10925-JC5</f>
        <v>10067</v>
      </c>
      <c r="JD3" s="10">
        <f>11035-JD5</f>
        <v>10005</v>
      </c>
      <c r="JE3" s="10">
        <f>10952-JE5</f>
        <v>9835</v>
      </c>
      <c r="JF3" s="10">
        <f>11047-JF5</f>
        <v>9998</v>
      </c>
      <c r="JG3" s="10">
        <f>11133-JG5</f>
        <v>10082</v>
      </c>
      <c r="JH3" s="10">
        <f>11138-JH5</f>
        <v>10063</v>
      </c>
      <c r="JI3" s="10">
        <f>11089-JI5</f>
        <v>10018</v>
      </c>
      <c r="JJ3" s="10">
        <f>11226-JJ5</f>
        <v>10111</v>
      </c>
      <c r="JK3" s="10">
        <f>11072-JK5</f>
        <v>9968</v>
      </c>
      <c r="JL3" s="10">
        <f>11024-JL5</f>
        <v>9918</v>
      </c>
      <c r="JM3" s="10">
        <f>11170-JM5</f>
        <v>10069</v>
      </c>
      <c r="JN3" s="10">
        <f>11190-JN5</f>
        <v>10058</v>
      </c>
      <c r="JO3" s="10">
        <f>11289-JO5</f>
        <v>10082</v>
      </c>
      <c r="JP3" s="10">
        <f>11479-JP5</f>
        <v>10239</v>
      </c>
      <c r="JQ3" s="10">
        <f>11437-JQ5</f>
        <v>10197</v>
      </c>
      <c r="JR3" s="10">
        <f>11709-JR5</f>
        <v>10473</v>
      </c>
      <c r="JS3" s="10">
        <f>11653-JS5</f>
        <v>10412</v>
      </c>
      <c r="JT3" s="10">
        <f>11660-JT5</f>
        <v>10383</v>
      </c>
      <c r="JU3" s="10">
        <f>11560-JU5</f>
        <v>10228</v>
      </c>
      <c r="JV3" s="10">
        <f>11488-JV5</f>
        <v>10015</v>
      </c>
      <c r="JW3" s="102">
        <f>11691-JW5</f>
        <v>10213</v>
      </c>
      <c r="JX3" s="475"/>
      <c r="JY3" s="24" t="s">
        <v>48</v>
      </c>
      <c r="JZ3" s="6" t="s">
        <v>47</v>
      </c>
      <c r="KA3" s="15"/>
      <c r="KB3" s="6" t="s">
        <v>48</v>
      </c>
      <c r="KC3" s="10">
        <f>11541-KC5</f>
        <v>10057</v>
      </c>
      <c r="KD3" s="10">
        <f>11819-KD5</f>
        <v>10682</v>
      </c>
      <c r="KE3" s="10">
        <f>11102-KE5</f>
        <v>10388</v>
      </c>
      <c r="KF3" s="10">
        <f>10981-KF5</f>
        <v>10187</v>
      </c>
      <c r="KG3" s="10">
        <f>11241-KG5</f>
        <v>10508</v>
      </c>
      <c r="KH3" s="10">
        <f>11156-KH5</f>
        <v>10512</v>
      </c>
      <c r="KI3" s="10">
        <f>10811-KI5</f>
        <v>10194</v>
      </c>
      <c r="KJ3" s="10">
        <f>10636-KJ5</f>
        <v>10013</v>
      </c>
      <c r="KK3" s="122"/>
      <c r="KL3" s="6" t="s">
        <v>48</v>
      </c>
      <c r="KM3" s="10">
        <v>10883</v>
      </c>
      <c r="KN3" s="10">
        <v>10767</v>
      </c>
      <c r="KO3" s="10">
        <v>10614</v>
      </c>
      <c r="KP3" s="10">
        <v>10190</v>
      </c>
      <c r="KQ3" s="10">
        <v>10089</v>
      </c>
      <c r="KR3" s="10">
        <v>10290</v>
      </c>
      <c r="KS3" s="10">
        <v>10267</v>
      </c>
      <c r="KT3" s="10">
        <v>10178</v>
      </c>
      <c r="KU3" s="10">
        <v>9528</v>
      </c>
      <c r="KV3" s="10">
        <v>9364</v>
      </c>
      <c r="KW3" s="10">
        <v>9405</v>
      </c>
      <c r="KX3" s="10">
        <v>9420</v>
      </c>
      <c r="KY3" s="10">
        <v>8837</v>
      </c>
      <c r="KZ3" s="10">
        <v>8725</v>
      </c>
      <c r="LA3" s="10">
        <v>8725</v>
      </c>
      <c r="LB3" s="10">
        <v>8864</v>
      </c>
      <c r="LC3" s="10">
        <v>8735</v>
      </c>
      <c r="LD3" s="10">
        <f>8363-271.68-77</f>
        <v>8014.32</v>
      </c>
      <c r="LE3" s="10">
        <f>8363-271.68-77</f>
        <v>8014.32</v>
      </c>
      <c r="LF3" s="10">
        <f>8407-271.68-77</f>
        <v>8058.32</v>
      </c>
      <c r="LG3" s="10">
        <f>8322-77</f>
        <v>8245</v>
      </c>
      <c r="LH3" s="10">
        <f>8255-77</f>
        <v>8178</v>
      </c>
      <c r="LI3" s="10">
        <f>7991-77</f>
        <v>7914</v>
      </c>
      <c r="LJ3" s="10">
        <f>7991-77</f>
        <v>7914</v>
      </c>
      <c r="LK3" s="10">
        <f>8244-77</f>
        <v>8167</v>
      </c>
      <c r="LL3" s="10">
        <f>7804-77</f>
        <v>7727</v>
      </c>
      <c r="LM3" s="10">
        <f>7782-77</f>
        <v>7705</v>
      </c>
      <c r="LN3" s="10">
        <f>7593-77</f>
        <v>7516</v>
      </c>
      <c r="LO3" s="10">
        <f>7592-77</f>
        <v>7515</v>
      </c>
      <c r="LP3" s="10">
        <f>7718-77</f>
        <v>7641</v>
      </c>
      <c r="LQ3" s="10">
        <f>7708-77</f>
        <v>7631</v>
      </c>
      <c r="LR3" s="10">
        <f>7681-77</f>
        <v>7604</v>
      </c>
      <c r="LS3" s="10">
        <f>7319-77</f>
        <v>7242</v>
      </c>
      <c r="LT3" s="10">
        <f>7319-77</f>
        <v>7242</v>
      </c>
      <c r="LU3" s="10">
        <f>7318-77</f>
        <v>7241</v>
      </c>
      <c r="LV3" s="10">
        <f>7139-77</f>
        <v>7062</v>
      </c>
      <c r="LW3" s="10">
        <f>7139-77</f>
        <v>7062</v>
      </c>
      <c r="LX3" s="10">
        <f>7048-77</f>
        <v>6971</v>
      </c>
      <c r="LY3" s="10">
        <f>7231-77</f>
        <v>7154</v>
      </c>
      <c r="LZ3" s="10">
        <f>7141-77</f>
        <v>7064</v>
      </c>
      <c r="MA3" s="10">
        <f>7137-77</f>
        <v>7060</v>
      </c>
      <c r="MB3" s="10">
        <f>7229-77</f>
        <v>7152</v>
      </c>
      <c r="MC3" s="10">
        <f>7257</f>
        <v>7257</v>
      </c>
      <c r="MD3" s="10">
        <v>6792</v>
      </c>
      <c r="ME3" s="10">
        <v>6792</v>
      </c>
      <c r="MF3" s="10">
        <v>6936</v>
      </c>
      <c r="MG3" s="10">
        <v>6924</v>
      </c>
      <c r="MH3" s="10">
        <v>6858</v>
      </c>
      <c r="MI3" s="10">
        <v>6601</v>
      </c>
      <c r="MJ3" s="10">
        <v>6573</v>
      </c>
      <c r="MK3" s="10">
        <v>6584</v>
      </c>
      <c r="ML3" s="10">
        <f>6542+286</f>
        <v>6828</v>
      </c>
      <c r="MM3" s="10">
        <f>6432+281</f>
        <v>6713</v>
      </c>
      <c r="MN3" s="10">
        <f>6466+281.4</f>
        <v>6747.4</v>
      </c>
      <c r="MO3" s="10">
        <f>6244+281.4</f>
        <v>6525.4</v>
      </c>
      <c r="MP3" s="10">
        <f>6339+281.4</f>
        <v>6620.4</v>
      </c>
      <c r="MQ3" s="10">
        <f>6139+256</f>
        <v>6395</v>
      </c>
      <c r="MR3" s="10">
        <f>6039+256</f>
        <v>6295</v>
      </c>
      <c r="MS3" s="10">
        <f>6124+256</f>
        <v>6380</v>
      </c>
      <c r="MT3" s="10">
        <f>6009+256</f>
        <v>6265</v>
      </c>
      <c r="MU3" s="10">
        <f>5675+242</f>
        <v>5917</v>
      </c>
      <c r="MV3" s="10">
        <f>5587+242</f>
        <v>5829</v>
      </c>
      <c r="MW3" s="10">
        <f>5633+242</f>
        <v>5875</v>
      </c>
      <c r="MX3" s="10">
        <f>5512+242</f>
        <v>5754</v>
      </c>
      <c r="MY3" s="10">
        <f>5438+242</f>
        <v>5680</v>
      </c>
      <c r="MZ3" s="10">
        <f>5419+234</f>
        <v>5653</v>
      </c>
      <c r="NA3" s="10">
        <f>5419+234</f>
        <v>5653</v>
      </c>
      <c r="NB3" s="10">
        <f>5573+234</f>
        <v>5807</v>
      </c>
      <c r="NC3" s="10">
        <f>5672+234</f>
        <v>5906</v>
      </c>
      <c r="ND3" s="10">
        <f>5588+234</f>
        <v>5822</v>
      </c>
      <c r="NE3" s="10">
        <f>5294+226</f>
        <v>5520</v>
      </c>
      <c r="NF3" s="10">
        <f>5273+226</f>
        <v>5499</v>
      </c>
      <c r="NG3" s="10">
        <f>5311+226</f>
        <v>5537</v>
      </c>
      <c r="NH3" s="10">
        <f>5324+219.45</f>
        <v>5543.45</v>
      </c>
      <c r="NI3" s="10">
        <f>5242+217</f>
        <v>5459</v>
      </c>
      <c r="NJ3" s="10">
        <f>5239+217</f>
        <v>5456</v>
      </c>
      <c r="NK3" s="10">
        <f>5408+217</f>
        <v>5625</v>
      </c>
      <c r="NL3" s="10">
        <f>5433+217</f>
        <v>5650</v>
      </c>
      <c r="NM3" s="10">
        <f>5664+217</f>
        <v>5881</v>
      </c>
      <c r="NN3" s="10">
        <f>5559+204.985</f>
        <v>5763.9849999999997</v>
      </c>
      <c r="NO3" s="10">
        <f>5559+204.985</f>
        <v>5763.9849999999997</v>
      </c>
      <c r="NP3" s="10">
        <f>5802+204.985</f>
        <v>6006.9849999999997</v>
      </c>
      <c r="NQ3" s="10">
        <f>5917+204.985</f>
        <v>6121.9849999999997</v>
      </c>
      <c r="NR3" s="10">
        <f>5996+204.985</f>
        <v>6200.9849999999997</v>
      </c>
      <c r="NS3" s="10">
        <f>5878+192.225</f>
        <v>6070.2250000000004</v>
      </c>
      <c r="NT3" s="10">
        <f>5879+192.225</f>
        <v>6071.2250000000004</v>
      </c>
      <c r="NU3" s="10">
        <f>6066+192.225</f>
        <v>6258.2250000000004</v>
      </c>
      <c r="NV3" s="10">
        <f>6037+192.225</f>
        <v>6229.2250000000004</v>
      </c>
      <c r="NW3" s="10">
        <f>6104+192.225</f>
        <v>6296.2250000000004</v>
      </c>
      <c r="NX3" s="10">
        <f>5904+188.1</f>
        <v>6092.1</v>
      </c>
      <c r="NY3" s="10">
        <f>5904+188.1</f>
        <v>6092.1</v>
      </c>
      <c r="NZ3" s="10">
        <f>5933+188.1</f>
        <v>6121.1</v>
      </c>
      <c r="OA3" s="10">
        <f>6008+188.1</f>
        <v>6196.1</v>
      </c>
      <c r="OB3" s="10">
        <f>5911+164.975</f>
        <v>6075.9750000000004</v>
      </c>
      <c r="OC3" s="10">
        <f>5911+164.975</f>
        <v>6075.9750000000004</v>
      </c>
      <c r="OD3" s="10">
        <f>6125+164.975</f>
        <v>6289.9750000000004</v>
      </c>
      <c r="OE3" s="10">
        <f>6202+164.975</f>
        <v>6366.9750000000004</v>
      </c>
      <c r="OF3" s="10">
        <f>6277+164.975</f>
        <v>6441.9750000000004</v>
      </c>
      <c r="OG3" s="10">
        <f>5962+146.275</f>
        <v>6108.2749999999996</v>
      </c>
      <c r="OH3" s="10">
        <f>5972+146.275</f>
        <v>6118.2749999999996</v>
      </c>
      <c r="OI3" s="10">
        <f>6077+146.275</f>
        <v>6223.2749999999996</v>
      </c>
      <c r="OJ3" s="10">
        <f>6280+146.275</f>
        <v>6426.2749999999996</v>
      </c>
      <c r="OK3" s="10">
        <f>6766+114.4</f>
        <v>6880.4</v>
      </c>
      <c r="OL3" s="10">
        <f>6788+114.4</f>
        <v>6902.4</v>
      </c>
      <c r="OM3" s="10">
        <f>6896+114.4</f>
        <v>7010.4</v>
      </c>
      <c r="ON3" s="10">
        <f>6943+114.025</f>
        <v>7057.0249999999996</v>
      </c>
      <c r="OO3" s="10">
        <f>6907+114.025</f>
        <v>7021.0249999999996</v>
      </c>
      <c r="OP3" s="10">
        <f>7005.08+114.025</f>
        <v>7119.1049999999996</v>
      </c>
      <c r="OQ3" s="10">
        <f>6888.75+114.025</f>
        <v>7002.7749999999996</v>
      </c>
      <c r="OR3" s="10">
        <f>6709.91+114.025</f>
        <v>6823.9349999999995</v>
      </c>
      <c r="OS3" s="10">
        <f>6333.34+104.05</f>
        <v>6437.39</v>
      </c>
      <c r="OT3" s="10">
        <f>6305.81+104.05</f>
        <v>6409.8600000000006</v>
      </c>
      <c r="OU3" s="10">
        <f>6359.22+104.05</f>
        <v>6463.27</v>
      </c>
      <c r="OV3" s="10">
        <f>6328.92+104.05</f>
        <v>6432.97</v>
      </c>
      <c r="OW3" s="10">
        <f>66474.45</f>
        <v>66474.45</v>
      </c>
      <c r="OX3" s="10">
        <f>6702.73</f>
        <v>6702.73</v>
      </c>
      <c r="OY3" s="10">
        <f>6687.6</f>
        <v>6687.6</v>
      </c>
      <c r="OZ3" s="10">
        <f>6819.93</f>
        <v>6819.93</v>
      </c>
      <c r="PA3" s="10">
        <f>6854.31</f>
        <v>6854.31</v>
      </c>
      <c r="PB3" s="10">
        <f>6875.02</f>
        <v>6875.02</v>
      </c>
      <c r="PC3" s="10">
        <f>6500.095</f>
        <v>6500.0950000000003</v>
      </c>
      <c r="PD3" s="10">
        <f>6500.095</f>
        <v>6500.0950000000003</v>
      </c>
      <c r="PE3" s="10">
        <f>6586.575</f>
        <v>6586.5749999999998</v>
      </c>
      <c r="PF3" s="10">
        <f>6579.535</f>
        <v>6579.5349999999999</v>
      </c>
      <c r="PG3" s="10">
        <f>6701.565</f>
        <v>6701.5649999999996</v>
      </c>
      <c r="PH3" s="10">
        <f>6732.43</f>
        <v>6732.43</v>
      </c>
      <c r="PI3" s="10">
        <f>6721.15</f>
        <v>6721.15</v>
      </c>
      <c r="PJ3" s="10">
        <f>6770.52</f>
        <v>6770.52</v>
      </c>
      <c r="PK3" s="10">
        <f>6776.3</f>
        <v>6776.3</v>
      </c>
      <c r="PL3" s="10">
        <f>7181.475</f>
        <v>7181.4750000000004</v>
      </c>
      <c r="PM3" s="10">
        <f>6997.715</f>
        <v>6997.7150000000001</v>
      </c>
      <c r="PN3" s="10">
        <f>7210.465</f>
        <v>7210.4650000000001</v>
      </c>
      <c r="PO3" s="10">
        <f>7192.365</f>
        <v>7192.3649999999998</v>
      </c>
      <c r="PP3" s="10">
        <f>7512.115</f>
        <v>7512.1149999999998</v>
      </c>
      <c r="PQ3" s="10">
        <f>7678.065</f>
        <v>7678.0649999999996</v>
      </c>
      <c r="PR3" s="10">
        <f>7800.425</f>
        <v>7800.4250000000002</v>
      </c>
      <c r="PS3" s="10">
        <f>8050.425</f>
        <v>8050.4250000000002</v>
      </c>
      <c r="PT3" s="10">
        <f>7536.305</f>
        <v>7536.3050000000003</v>
      </c>
      <c r="PU3" s="10">
        <f>7781.785</f>
        <v>7781.7849999999999</v>
      </c>
      <c r="PV3" s="10">
        <f>7894.635</f>
        <v>7894.6350000000002</v>
      </c>
      <c r="PW3" s="10">
        <f>7662.915</f>
        <v>7662.915</v>
      </c>
      <c r="PX3" s="10">
        <f>7468.88</f>
        <v>7468.88</v>
      </c>
      <c r="PY3" s="10">
        <f>7468.88</f>
        <v>7468.88</v>
      </c>
      <c r="PZ3" s="10">
        <f>7640.9</f>
        <v>7640.9</v>
      </c>
      <c r="QA3" s="10">
        <f>7713.16</f>
        <v>7713.16</v>
      </c>
      <c r="QB3" s="10">
        <f>7803.61</f>
        <v>7803.61</v>
      </c>
      <c r="QC3" s="10">
        <f>7351.795</f>
        <v>7351.7950000000001</v>
      </c>
      <c r="QD3" s="10">
        <f>7337.285</f>
        <v>7337.2849999999999</v>
      </c>
      <c r="QE3" s="10">
        <f>7502.385</f>
        <v>7502.3850000000002</v>
      </c>
      <c r="QF3" s="10">
        <f>7320.515</f>
        <v>7320.5150000000003</v>
      </c>
      <c r="QG3" s="10">
        <f>7153.475</f>
        <v>7153.4750000000004</v>
      </c>
      <c r="QH3" s="10">
        <f>7153.475</f>
        <v>7153.4750000000004</v>
      </c>
      <c r="QI3" s="10">
        <f>7435.305</f>
        <v>7435.3050000000003</v>
      </c>
      <c r="QJ3" s="10">
        <f>7323.035</f>
        <v>7323.0349999999999</v>
      </c>
      <c r="QK3" s="10">
        <f>7298.185</f>
        <v>7298.1850000000004</v>
      </c>
      <c r="QL3" s="10">
        <f>7295.405</f>
        <v>7295.4049999999997</v>
      </c>
      <c r="QM3" s="10">
        <f>7485.905</f>
        <v>7485.9049999999997</v>
      </c>
      <c r="QN3" s="10">
        <f>7424.885</f>
        <v>7424.8850000000002</v>
      </c>
      <c r="QO3" s="10">
        <f>7520.545</f>
        <v>7520.5450000000001</v>
      </c>
      <c r="QP3" s="10">
        <f>7768.58</f>
        <v>7768.58</v>
      </c>
      <c r="QQ3" s="10">
        <f>7768.58</f>
        <v>7768.58</v>
      </c>
      <c r="QR3" s="10">
        <f>8009.14</f>
        <v>8009.14</v>
      </c>
      <c r="QS3" s="10">
        <f>7952.5</f>
        <v>7952.5</v>
      </c>
      <c r="QT3" s="10">
        <f>7955.91</f>
        <v>7955.91</v>
      </c>
      <c r="QU3" s="10">
        <f>7894.285</f>
        <v>7894.2849999999999</v>
      </c>
      <c r="QV3" s="10">
        <f>7894.285</f>
        <v>7894.2849999999999</v>
      </c>
      <c r="QW3" s="10">
        <f>8023.865</f>
        <v>8023.8649999999998</v>
      </c>
      <c r="QX3" s="10">
        <f>7932.135</f>
        <v>7932.1350000000002</v>
      </c>
      <c r="QY3" s="10">
        <f>7808.995</f>
        <v>7808.9949999999999</v>
      </c>
      <c r="QZ3" s="10">
        <f>7808.995</f>
        <v>7808.9949999999999</v>
      </c>
      <c r="RA3" s="10">
        <f>7995.165</f>
        <v>7995.165</v>
      </c>
      <c r="RB3" s="10">
        <f>8172.165</f>
        <v>8172.165</v>
      </c>
      <c r="RC3" s="10">
        <f>8444.295</f>
        <v>8444.2950000000001</v>
      </c>
      <c r="RD3" s="10">
        <f>8797.07</f>
        <v>8797.07</v>
      </c>
      <c r="RE3" s="10">
        <f>8797.07</f>
        <v>8797.07</v>
      </c>
      <c r="RF3" s="10">
        <f>9197.24</f>
        <v>9197.24</v>
      </c>
      <c r="RG3" s="10">
        <f>9299.67</f>
        <v>9299.67</v>
      </c>
      <c r="RH3" s="10">
        <f>9376.01</f>
        <v>9376.01</v>
      </c>
      <c r="RI3" s="10">
        <f>9197.58</f>
        <v>9197.58</v>
      </c>
      <c r="RJ3" s="10">
        <f>9197.58</f>
        <v>9197.58</v>
      </c>
      <c r="RK3" s="10">
        <f>9501.11</f>
        <v>9501.11</v>
      </c>
      <c r="RL3" s="10">
        <f>9685.23</f>
        <v>9685.23</v>
      </c>
      <c r="RM3" s="10">
        <f>9710.32</f>
        <v>9710.32</v>
      </c>
      <c r="RN3" s="10">
        <f>9778.63</f>
        <v>9778.6299999999992</v>
      </c>
      <c r="RO3" s="10">
        <f>9512.63</f>
        <v>9512.6299999999992</v>
      </c>
      <c r="RP3" s="10">
        <f>9692.55</f>
        <v>9692.5499999999993</v>
      </c>
      <c r="RQ3" s="10">
        <f>9733.68</f>
        <v>9733.68</v>
      </c>
      <c r="RR3" s="10">
        <f>9739.18</f>
        <v>9739.18</v>
      </c>
      <c r="RS3" s="10">
        <f>9876.78</f>
        <v>9876.7800000000007</v>
      </c>
      <c r="RT3" s="10">
        <f>9876.78</f>
        <v>9876.7800000000007</v>
      </c>
      <c r="RU3" s="10">
        <f>10038.72</f>
        <v>10038.719999999999</v>
      </c>
      <c r="RV3" s="10">
        <f>10010.54</f>
        <v>10010.540000000001</v>
      </c>
      <c r="RW3" s="10">
        <f>9851.2</f>
        <v>9851.2000000000007</v>
      </c>
      <c r="RX3" s="10">
        <f>10102.105</f>
        <v>10102.105</v>
      </c>
      <c r="RY3" s="10">
        <f>10097.985</f>
        <v>10097.985000000001</v>
      </c>
      <c r="RZ3" s="10">
        <f>10195.845</f>
        <v>10195.844999999999</v>
      </c>
      <c r="SA3" s="10">
        <f>10133.405</f>
        <v>10133.405000000001</v>
      </c>
      <c r="SB3" s="10">
        <f>10156.455</f>
        <v>10156.455</v>
      </c>
      <c r="SC3" s="10">
        <f>10013.29</f>
        <v>10013.290000000001</v>
      </c>
      <c r="SD3" s="10">
        <f>10013.29</f>
        <v>10013.290000000001</v>
      </c>
      <c r="SE3" s="10">
        <f>10290</f>
        <v>10290</v>
      </c>
      <c r="SF3" s="10">
        <f>10290</f>
        <v>10290</v>
      </c>
      <c r="SG3" s="10">
        <f>10385.93</f>
        <v>10385.93</v>
      </c>
      <c r="SH3" s="10">
        <v>10491.98</v>
      </c>
      <c r="SI3" s="10">
        <v>10484.009999999998</v>
      </c>
      <c r="SJ3" s="10">
        <v>9935.8049999999985</v>
      </c>
      <c r="SK3" s="10">
        <v>9935.8049999999985</v>
      </c>
      <c r="SL3" s="10">
        <v>10084.484999999999</v>
      </c>
      <c r="SM3" s="10">
        <v>9966.3049999999985</v>
      </c>
      <c r="SN3" s="10">
        <v>9705.244999999999</v>
      </c>
      <c r="SO3" s="10">
        <v>9705.244999999999</v>
      </c>
      <c r="SP3" s="10">
        <v>9764.0549999999985</v>
      </c>
      <c r="SQ3" s="10">
        <v>9790.8249999999989</v>
      </c>
      <c r="SR3" s="10">
        <v>9652.5549999999985</v>
      </c>
      <c r="SS3" s="10">
        <v>8962.125</v>
      </c>
      <c r="ST3" s="10">
        <v>8952.2749999999996</v>
      </c>
      <c r="SU3" s="10">
        <v>9138.0349999999999</v>
      </c>
      <c r="SV3" s="10">
        <v>9146.3049999999985</v>
      </c>
      <c r="SW3" s="10">
        <v>9237.5149999999994</v>
      </c>
      <c r="SX3" s="10">
        <v>9288.0199999999986</v>
      </c>
      <c r="SY3" s="10">
        <v>9288.0199999999986</v>
      </c>
      <c r="SZ3" s="10">
        <v>9383.3499999999985</v>
      </c>
      <c r="TA3" s="10">
        <v>9371.59</v>
      </c>
      <c r="TB3" s="10">
        <v>9354.92</v>
      </c>
      <c r="TC3" s="10">
        <v>9203.9049999999988</v>
      </c>
      <c r="TD3" s="10">
        <v>9279.1593999999968</v>
      </c>
      <c r="TE3" s="10">
        <v>8939.8293999999969</v>
      </c>
      <c r="TF3" s="10">
        <v>8978.8536000000022</v>
      </c>
      <c r="TG3" s="10">
        <v>9309.6106999999993</v>
      </c>
      <c r="TH3" s="10">
        <v>9463.6947999999993</v>
      </c>
      <c r="TI3" s="10">
        <v>9552.9889000000021</v>
      </c>
      <c r="TJ3" s="10">
        <v>9855.6967999999997</v>
      </c>
      <c r="TK3" s="10">
        <v>9834.6804000000011</v>
      </c>
      <c r="TL3" s="10">
        <v>9662.5083999999988</v>
      </c>
      <c r="TM3" s="10">
        <v>9744.0672999999988</v>
      </c>
      <c r="TN3" s="10">
        <v>9811.7062999999998</v>
      </c>
      <c r="TO3" s="10">
        <v>9733.2892999999967</v>
      </c>
      <c r="TP3" s="10">
        <v>9664.8064000000013</v>
      </c>
      <c r="TQ3" s="10">
        <v>9344.4488999999994</v>
      </c>
      <c r="TR3" s="10">
        <v>9557.3628999999983</v>
      </c>
      <c r="TS3" s="10">
        <v>9527.4107999999997</v>
      </c>
      <c r="TT3" s="10">
        <v>9643.9287999999979</v>
      </c>
      <c r="TU3" s="10">
        <v>9829.4649000000009</v>
      </c>
      <c r="TV3" s="10">
        <v>9535.6278999999995</v>
      </c>
      <c r="TW3" s="10">
        <v>9699.8848999999973</v>
      </c>
      <c r="TX3" s="10">
        <v>9661.4498000000003</v>
      </c>
      <c r="TY3" s="10">
        <v>9383.5158999999985</v>
      </c>
      <c r="TZ3" s="10">
        <v>9296.8639000000003</v>
      </c>
      <c r="UA3" s="10">
        <v>9460.3168999999998</v>
      </c>
      <c r="UB3" s="10">
        <v>9521.7468999999983</v>
      </c>
      <c r="UC3" s="10">
        <v>9492.3979000000018</v>
      </c>
      <c r="UD3" s="10">
        <v>9623.2689000000009</v>
      </c>
      <c r="UE3" s="10">
        <v>9659.7817999999988</v>
      </c>
      <c r="UF3" s="10">
        <v>9878.6969000000008</v>
      </c>
      <c r="UG3" s="10">
        <v>9920.4578000000001</v>
      </c>
      <c r="UH3" s="10">
        <v>9925.8359999999993</v>
      </c>
      <c r="UI3" s="10">
        <v>9996.0820000000003</v>
      </c>
      <c r="UJ3" s="10">
        <v>9888.2546999999977</v>
      </c>
      <c r="UK3" s="10">
        <v>10038.370799999999</v>
      </c>
      <c r="UL3" s="10">
        <v>10072.143099999999</v>
      </c>
      <c r="UM3" s="10">
        <v>9854.4521000000022</v>
      </c>
      <c r="UN3" s="10">
        <v>9995.7470999999987</v>
      </c>
      <c r="UO3" s="10">
        <v>9882.4145999999982</v>
      </c>
      <c r="UP3" s="10">
        <v>10110.9476</v>
      </c>
      <c r="UQ3" s="10">
        <v>10172.614599999999</v>
      </c>
      <c r="UR3" s="10">
        <v>9904.6908999999996</v>
      </c>
      <c r="US3" s="10">
        <v>9770.3598999999977</v>
      </c>
      <c r="UT3" s="10">
        <v>9816.3209000000006</v>
      </c>
      <c r="UU3" s="10">
        <v>9742.0659999999971</v>
      </c>
      <c r="UV3" s="10">
        <v>9726.2994000000017</v>
      </c>
      <c r="UW3" s="10">
        <v>9639.0703000000012</v>
      </c>
      <c r="UX3" s="10">
        <v>9272.4282000000003</v>
      </c>
      <c r="UY3" s="10">
        <v>9504.5150999999987</v>
      </c>
      <c r="UZ3" s="10">
        <v>9593.1502</v>
      </c>
      <c r="VA3" s="10">
        <v>9638.7482</v>
      </c>
      <c r="VB3" s="10">
        <v>9738.2753000000012</v>
      </c>
      <c r="VC3" s="10">
        <v>9565.4919999999984</v>
      </c>
      <c r="VD3" s="10">
        <v>9612.6865999999991</v>
      </c>
      <c r="VE3" s="10">
        <v>9590</v>
      </c>
      <c r="VF3" s="10">
        <v>9705</v>
      </c>
      <c r="VG3" s="10">
        <v>9619.827299999999</v>
      </c>
      <c r="VH3" s="10">
        <v>9773.2410999999975</v>
      </c>
      <c r="VI3" s="10">
        <v>9640.2830999999987</v>
      </c>
      <c r="VJ3" s="10">
        <v>9644.6479999999992</v>
      </c>
      <c r="VK3" s="10">
        <v>9591.7775000000001</v>
      </c>
      <c r="VL3" s="10">
        <v>9217.2245000000021</v>
      </c>
      <c r="VM3" s="10">
        <v>9386.1964999999982</v>
      </c>
      <c r="VN3" s="10">
        <v>9355.9555000000018</v>
      </c>
      <c r="VO3" s="10">
        <v>9452.8444999999992</v>
      </c>
      <c r="VP3" s="10">
        <v>9416.7068999999992</v>
      </c>
      <c r="VQ3" s="10">
        <v>8924.1458999999995</v>
      </c>
      <c r="VR3" s="10">
        <v>9078.4128999999994</v>
      </c>
      <c r="VS3" s="10">
        <v>8964.9208999999992</v>
      </c>
      <c r="VT3" s="10">
        <v>9072.0398999999998</v>
      </c>
      <c r="VU3" s="10">
        <v>8785.1257999999998</v>
      </c>
      <c r="VV3" s="10">
        <v>8915.5227999999988</v>
      </c>
      <c r="VW3" s="10">
        <v>9002.0288</v>
      </c>
      <c r="VX3" s="10">
        <v>9083.7757999999994</v>
      </c>
      <c r="VY3" s="10">
        <v>9290.6787999999997</v>
      </c>
      <c r="VZ3" s="10">
        <v>9340.8507999999983</v>
      </c>
      <c r="WA3" s="10">
        <v>9478.4188000000013</v>
      </c>
      <c r="WB3" s="10">
        <v>9651.9177999999993</v>
      </c>
      <c r="WC3" s="10">
        <v>9705.3768</v>
      </c>
      <c r="WD3" s="10">
        <v>9769.8048999999992</v>
      </c>
      <c r="WE3" s="10">
        <v>9468.1679000000004</v>
      </c>
      <c r="WF3" s="10">
        <v>9772.9258999999984</v>
      </c>
      <c r="WG3" s="10">
        <v>9919.4549000000006</v>
      </c>
      <c r="WH3" s="10">
        <v>9901.0319</v>
      </c>
      <c r="WI3" s="10">
        <v>9629.1318999999985</v>
      </c>
      <c r="WJ3" s="10">
        <v>9736.2440000000006</v>
      </c>
      <c r="WK3" s="10">
        <v>9845.1530000000002</v>
      </c>
      <c r="WL3" s="10">
        <v>9759.1669999999995</v>
      </c>
      <c r="WM3" s="10">
        <v>9824.5909999999985</v>
      </c>
      <c r="WN3" s="10">
        <v>9485.8355000000029</v>
      </c>
      <c r="WO3" s="10">
        <v>9709.1034999999993</v>
      </c>
      <c r="WP3" s="10">
        <v>9764.5695000000032</v>
      </c>
      <c r="WQ3" s="10">
        <v>9825.3414999999986</v>
      </c>
      <c r="WR3" s="10">
        <v>9916.5704999999998</v>
      </c>
      <c r="WS3" s="10">
        <v>9444.5737999999983</v>
      </c>
      <c r="WT3" s="10">
        <v>9627.3197999999993</v>
      </c>
      <c r="WU3" s="10">
        <v>9695.6987999999965</v>
      </c>
      <c r="WV3" s="10">
        <v>9723.8907999999992</v>
      </c>
      <c r="WW3" s="10">
        <v>9858.7366999999995</v>
      </c>
      <c r="WX3" s="10">
        <v>9786.424799999997</v>
      </c>
      <c r="WY3" s="10">
        <v>9801.8858000000037</v>
      </c>
      <c r="WZ3" s="10">
        <v>10056.6438</v>
      </c>
      <c r="XA3" s="10">
        <v>9870.130799999999</v>
      </c>
      <c r="XB3" s="10">
        <v>10181.495299999999</v>
      </c>
      <c r="XC3" s="10">
        <v>10197.408299999999</v>
      </c>
      <c r="XD3" s="10">
        <v>10188.085300000001</v>
      </c>
      <c r="XE3" s="10">
        <v>10037.381299999999</v>
      </c>
      <c r="XF3" s="10">
        <v>9509.0512999999992</v>
      </c>
      <c r="XG3" s="10">
        <v>9598.8153000000002</v>
      </c>
      <c r="XH3" s="10">
        <v>9691.1602999999959</v>
      </c>
      <c r="XI3" s="10">
        <v>9697.0401999999976</v>
      </c>
      <c r="XJ3" s="10">
        <v>9777.5922999999984</v>
      </c>
      <c r="XK3" s="10">
        <v>9889.5473000000002</v>
      </c>
      <c r="XL3" s="10">
        <v>10282.681299999998</v>
      </c>
      <c r="XM3" s="10">
        <v>10305.285299999996</v>
      </c>
      <c r="XN3" s="10">
        <v>10574.214300000001</v>
      </c>
      <c r="XO3" s="10">
        <v>10539.783699999998</v>
      </c>
      <c r="XP3" s="10">
        <v>10457.6762</v>
      </c>
      <c r="XQ3" s="10">
        <v>10671.409299999999</v>
      </c>
      <c r="XR3" s="10">
        <v>10774.8223</v>
      </c>
      <c r="XS3" s="10">
        <v>10320.579299999999</v>
      </c>
      <c r="XT3" s="10">
        <v>10166.924200000001</v>
      </c>
      <c r="XU3" s="10">
        <v>10655.367299999998</v>
      </c>
      <c r="XV3" s="10">
        <v>10642.2353</v>
      </c>
      <c r="XW3" s="10">
        <v>10693.980300000001</v>
      </c>
      <c r="XX3" s="10">
        <v>10614.3843</v>
      </c>
      <c r="XY3" s="10">
        <v>10338.4483</v>
      </c>
      <c r="XZ3" s="10">
        <v>10463.316299999999</v>
      </c>
      <c r="YA3" s="10">
        <v>10368.919299999998</v>
      </c>
      <c r="YB3" s="10">
        <v>10181.612000000001</v>
      </c>
      <c r="YC3" s="10">
        <v>10169.314</v>
      </c>
      <c r="YD3" s="10">
        <v>9720.8639999999978</v>
      </c>
      <c r="YE3" s="10">
        <v>9862.2469999999976</v>
      </c>
      <c r="YF3" s="10">
        <v>9910.6449999999986</v>
      </c>
      <c r="YG3" s="10">
        <v>9975.6139999999996</v>
      </c>
      <c r="YH3" s="10">
        <v>10011.626899999999</v>
      </c>
      <c r="YI3" s="10">
        <v>10032.854499999999</v>
      </c>
      <c r="YJ3" s="10">
        <v>10248.719499999999</v>
      </c>
      <c r="YK3" s="10">
        <v>10279.621999999999</v>
      </c>
      <c r="YL3" s="10">
        <v>10529.23</v>
      </c>
      <c r="YM3" s="10">
        <v>10704.321</v>
      </c>
      <c r="YN3" s="10">
        <v>10798.517899999999</v>
      </c>
      <c r="YO3" s="10">
        <v>11039.217000000001</v>
      </c>
      <c r="YP3" s="10">
        <v>11071.359200000001</v>
      </c>
      <c r="YQ3" s="10">
        <v>11126.017199999998</v>
      </c>
      <c r="YR3" s="10">
        <v>11488.253999999999</v>
      </c>
      <c r="YS3" s="10">
        <v>11420.797999999999</v>
      </c>
      <c r="YT3" s="10">
        <v>11261.448099999998</v>
      </c>
      <c r="YU3" s="10">
        <v>11209.596000000003</v>
      </c>
      <c r="YV3" s="10">
        <v>10898.891</v>
      </c>
      <c r="YW3" s="10">
        <v>11149.672</v>
      </c>
      <c r="YX3" s="10">
        <v>11245.362999999999</v>
      </c>
      <c r="YY3" s="10">
        <v>11376.527999999998</v>
      </c>
      <c r="YZ3" s="10">
        <v>11416.812900000003</v>
      </c>
      <c r="ZA3" s="10">
        <v>11486.291899999998</v>
      </c>
      <c r="ZB3" s="10">
        <v>11746.656900000002</v>
      </c>
      <c r="ZC3" s="10">
        <v>11678.7009</v>
      </c>
      <c r="ZD3" s="10">
        <v>11535.205900000001</v>
      </c>
      <c r="ZE3" s="10">
        <v>11135.673999999999</v>
      </c>
      <c r="ZF3" s="10">
        <v>11258.198999999999</v>
      </c>
      <c r="ZG3" s="10">
        <v>11623.648000000001</v>
      </c>
      <c r="ZH3" s="10">
        <v>11542.011</v>
      </c>
      <c r="ZI3" s="10">
        <v>11720.872999999998</v>
      </c>
      <c r="ZJ3" s="10">
        <v>11573.7029</v>
      </c>
      <c r="ZK3" s="10">
        <v>11820.688999999998</v>
      </c>
      <c r="ZL3" s="10">
        <v>11914.117999999999</v>
      </c>
      <c r="ZM3" s="10">
        <v>11958.913999999997</v>
      </c>
      <c r="ZN3" s="10">
        <v>11865.203</v>
      </c>
      <c r="ZO3" s="10">
        <v>11620.151900000001</v>
      </c>
      <c r="ZP3" s="10">
        <v>11762.883</v>
      </c>
      <c r="ZQ3" s="10">
        <v>11803.466700000001</v>
      </c>
      <c r="ZR3" s="10">
        <v>11847.7518</v>
      </c>
      <c r="ZS3" s="10">
        <v>11346.023800000003</v>
      </c>
      <c r="ZT3" s="10">
        <v>11544.441800000001</v>
      </c>
      <c r="ZU3" s="10">
        <v>11462.436800000001</v>
      </c>
      <c r="ZV3" s="10">
        <v>11550.520800000004</v>
      </c>
      <c r="ZW3" s="10">
        <v>11627.614799999999</v>
      </c>
      <c r="ZX3" s="10">
        <v>12125.502799999998</v>
      </c>
      <c r="ZY3" s="10">
        <v>12171.846</v>
      </c>
      <c r="ZZ3" s="10">
        <v>12361.385999999999</v>
      </c>
      <c r="AAA3" s="10">
        <v>12470.395900000001</v>
      </c>
      <c r="AAB3" s="10">
        <v>12682.589199999999</v>
      </c>
      <c r="AAC3" s="10">
        <v>12656.6032</v>
      </c>
      <c r="AAD3" s="10">
        <v>12611.198200000001</v>
      </c>
      <c r="AAE3" s="10">
        <v>12695.432200000001</v>
      </c>
      <c r="AAF3" s="10">
        <v>12643.123899999999</v>
      </c>
      <c r="AAG3" s="10">
        <v>12846.862000000001</v>
      </c>
      <c r="AAH3" s="10">
        <v>12683.7909</v>
      </c>
      <c r="AAI3" s="10">
        <v>12732.587000000001</v>
      </c>
      <c r="AAJ3" s="10">
        <v>12792.666999999998</v>
      </c>
      <c r="AAK3" s="10">
        <v>12483.389000000001</v>
      </c>
      <c r="AAL3" s="10">
        <v>12700.251999999999</v>
      </c>
      <c r="AAM3" s="10">
        <v>12684.870000000003</v>
      </c>
      <c r="AAN3" s="10">
        <v>12451.420899999997</v>
      </c>
      <c r="AAO3" s="10">
        <v>12613.703000000001</v>
      </c>
      <c r="AAP3" s="10">
        <v>12052.250999999998</v>
      </c>
      <c r="AAQ3" s="10">
        <v>12254.697700000001</v>
      </c>
      <c r="AAR3" s="10">
        <v>12275.6157</v>
      </c>
      <c r="AAS3" s="10">
        <v>12221.448</v>
      </c>
      <c r="AAT3" s="10">
        <v>12126.609999999999</v>
      </c>
      <c r="AAU3" s="10">
        <v>12289.761999999999</v>
      </c>
      <c r="AAV3" s="10">
        <v>12405.226000000002</v>
      </c>
      <c r="AAW3" s="10">
        <v>12387.772799999999</v>
      </c>
      <c r="AAX3" s="10">
        <v>12255.104800000001</v>
      </c>
      <c r="AAY3" s="10">
        <v>11702.216</v>
      </c>
      <c r="AAZ3" s="10">
        <v>11805.190999999999</v>
      </c>
      <c r="ABA3" s="10">
        <v>11641.243</v>
      </c>
      <c r="ABB3" s="10">
        <v>11467.475999999999</v>
      </c>
      <c r="ABC3" s="10">
        <v>11499.745999999999</v>
      </c>
      <c r="ABD3" s="10">
        <v>10792.294</v>
      </c>
      <c r="ABE3" s="10">
        <v>10999.16</v>
      </c>
      <c r="ABF3" s="10">
        <v>11073.029</v>
      </c>
      <c r="ABG3" s="10">
        <v>10900.097</v>
      </c>
      <c r="ABH3" s="10">
        <v>10994.980999999998</v>
      </c>
      <c r="ABI3" s="10">
        <v>10893.772000000001</v>
      </c>
      <c r="ABJ3" s="10">
        <v>10893.771999999999</v>
      </c>
      <c r="ABK3" s="10">
        <v>10922.432999999999</v>
      </c>
      <c r="ABL3" s="10">
        <v>11051.428899999999</v>
      </c>
      <c r="ABM3" s="10">
        <v>11002.076999999997</v>
      </c>
      <c r="ABN3" s="10">
        <v>10949.571</v>
      </c>
      <c r="ABO3" s="10">
        <v>10856.259</v>
      </c>
      <c r="ABP3" s="10">
        <v>11080.482900000001</v>
      </c>
      <c r="ABQ3" s="10">
        <v>11036.5769</v>
      </c>
      <c r="ABR3" s="10">
        <v>11174.264000000001</v>
      </c>
      <c r="ABS3" s="10">
        <v>11015.344999999999</v>
      </c>
      <c r="ABT3" s="10">
        <v>10828.965899999999</v>
      </c>
      <c r="ABU3" s="10">
        <v>11049.4969</v>
      </c>
      <c r="ABV3" s="10">
        <v>11018.6618</v>
      </c>
      <c r="ABW3" s="10">
        <v>10973.4318</v>
      </c>
      <c r="ABX3" s="10">
        <v>10992.8799</v>
      </c>
      <c r="ABY3" s="10">
        <v>10738.0659</v>
      </c>
      <c r="ABZ3" s="10">
        <v>10850.857900000001</v>
      </c>
      <c r="ACA3" s="10">
        <v>10728.650899999997</v>
      </c>
      <c r="ACB3" s="10">
        <v>10811.433899999998</v>
      </c>
      <c r="ACC3" s="10">
        <v>10837.9079</v>
      </c>
      <c r="ACD3" s="10">
        <v>10512.1289</v>
      </c>
      <c r="ACE3" s="10">
        <v>10714.545900000001</v>
      </c>
      <c r="ACF3" s="10">
        <v>10726.319900000004</v>
      </c>
      <c r="ACG3" s="10">
        <v>10514.265900000002</v>
      </c>
      <c r="ACH3" s="314">
        <v>10742.093699999999</v>
      </c>
      <c r="ACI3" s="314">
        <v>10866.8477</v>
      </c>
      <c r="ACJ3" s="314">
        <v>10811.572700000001</v>
      </c>
      <c r="ACK3" s="314">
        <v>10716.1759</v>
      </c>
      <c r="ACL3" s="314">
        <v>10592.8729</v>
      </c>
      <c r="ACM3" s="314">
        <v>10525.623799999999</v>
      </c>
      <c r="ACN3" s="314">
        <v>10373.286900000001</v>
      </c>
      <c r="ACO3" s="314">
        <v>10378.780900000002</v>
      </c>
      <c r="ACP3" s="314">
        <v>10364.992099999998</v>
      </c>
      <c r="ACQ3" s="314">
        <v>9903.0781000000006</v>
      </c>
      <c r="ACR3" s="314">
        <v>9940.9421999999977</v>
      </c>
      <c r="ACS3" s="314">
        <v>10017.888199999996</v>
      </c>
      <c r="ACT3" s="314">
        <v>10160.209200000003</v>
      </c>
      <c r="ACU3" s="314">
        <v>10196.716200000003</v>
      </c>
      <c r="ACV3" s="314">
        <v>9782.7732000000015</v>
      </c>
      <c r="ACW3" s="314">
        <v>9818.6592000000037</v>
      </c>
      <c r="ACX3" s="314">
        <v>9870.4832000000024</v>
      </c>
      <c r="ACY3" s="314">
        <v>9855.7942000000003</v>
      </c>
      <c r="ACZ3" s="314">
        <v>9467.5071999999982</v>
      </c>
      <c r="ADA3" s="314">
        <v>9618.7842000000001</v>
      </c>
      <c r="ADB3" s="314">
        <v>9583.8271999999997</v>
      </c>
      <c r="ADC3" s="314">
        <v>9703.7672000000002</v>
      </c>
      <c r="ADD3" s="314">
        <v>9636.881199999998</v>
      </c>
      <c r="ADE3" s="314">
        <v>9274.5891999999985</v>
      </c>
      <c r="ADF3" s="314">
        <v>9448.7071999999989</v>
      </c>
      <c r="ADG3" s="314">
        <v>9542.2641999999978</v>
      </c>
      <c r="ADH3" s="314">
        <v>9503.8731999999982</v>
      </c>
      <c r="ADI3" s="314">
        <v>9379.0812000000005</v>
      </c>
      <c r="ADJ3" s="314">
        <v>9379.0812000000005</v>
      </c>
      <c r="ADK3" s="314">
        <v>9247.1641999999993</v>
      </c>
      <c r="ADL3" s="314">
        <v>9332.738199999998</v>
      </c>
      <c r="ADM3" s="314">
        <v>8638.7540000000008</v>
      </c>
      <c r="ADN3" s="324">
        <v>8822.2498999999989</v>
      </c>
      <c r="ADO3" s="314">
        <v>8747.313900000001</v>
      </c>
      <c r="ADP3" s="314">
        <v>8845.7389999999996</v>
      </c>
      <c r="ADQ3" s="314">
        <v>8951.9709999999995</v>
      </c>
      <c r="ADR3" s="314">
        <v>9205.273900000002</v>
      </c>
      <c r="ADS3" s="314">
        <v>9292.0298999999995</v>
      </c>
      <c r="ADT3" s="328">
        <v>9225.4868999999981</v>
      </c>
      <c r="ADU3" s="314">
        <v>8825.905999999999</v>
      </c>
      <c r="ADV3" s="314">
        <v>8417.764000000001</v>
      </c>
      <c r="ADW3" s="314">
        <v>8731</v>
      </c>
      <c r="ADX3" s="324">
        <v>8765.8670000000002</v>
      </c>
      <c r="ADY3" s="314">
        <v>8821.0709000000006</v>
      </c>
      <c r="ADZ3" s="314">
        <v>8678.4890000000014</v>
      </c>
      <c r="AEA3" s="314">
        <v>8707.3169999999991</v>
      </c>
      <c r="AEB3" s="314">
        <v>8733.2560000000012</v>
      </c>
      <c r="AEC3" s="314">
        <v>8544.2345000000005</v>
      </c>
      <c r="AED3" s="314">
        <v>8493.2338999999993</v>
      </c>
      <c r="AEE3" s="314">
        <v>8591.0430000000015</v>
      </c>
      <c r="AEF3" s="314">
        <v>8759.0649999999987</v>
      </c>
      <c r="AEG3" s="314">
        <v>8872.7168999999976</v>
      </c>
      <c r="AEH3" s="314">
        <v>8998.7358999999997</v>
      </c>
      <c r="AEI3" s="314">
        <v>9260.5608999999986</v>
      </c>
      <c r="AEJ3" s="314">
        <v>9197.7329000000009</v>
      </c>
      <c r="AEK3" s="314">
        <v>9149.5169000000005</v>
      </c>
      <c r="AEL3" s="324">
        <v>9179.9079000000002</v>
      </c>
      <c r="AEM3" s="314">
        <v>9001.1018999999997</v>
      </c>
      <c r="AEN3" s="314">
        <v>9265.0699000000004</v>
      </c>
      <c r="AEO3" s="314">
        <v>9168.0228999999981</v>
      </c>
      <c r="AEP3" s="314">
        <v>9052.6413999999986</v>
      </c>
      <c r="AEQ3" s="314">
        <v>9015</v>
      </c>
      <c r="AER3" s="314">
        <v>8891.5960000000014</v>
      </c>
      <c r="AES3" s="314">
        <v>8999.2820000000011</v>
      </c>
      <c r="AET3" s="314">
        <v>8849.8948999999975</v>
      </c>
      <c r="AEU3" s="314">
        <v>8710.3989000000001</v>
      </c>
      <c r="AEV3" s="314">
        <v>8999.2820000000011</v>
      </c>
      <c r="AEW3" s="314">
        <v>8311.7839999999997</v>
      </c>
      <c r="AEX3" s="314">
        <v>8442.2289999999994</v>
      </c>
      <c r="AEY3" s="314">
        <v>8379.2299000000003</v>
      </c>
      <c r="AEZ3" s="314">
        <v>8160</v>
      </c>
      <c r="AFA3" s="314">
        <v>8223.6489000000001</v>
      </c>
      <c r="AFB3" s="314">
        <v>8143.5540000000001</v>
      </c>
      <c r="AFC3" s="314">
        <v>7926.1369000000004</v>
      </c>
      <c r="AFD3" s="314">
        <v>7592.2008999999998</v>
      </c>
      <c r="AFE3" s="314">
        <v>7742.7568999999994</v>
      </c>
      <c r="AFF3" s="314">
        <v>7635.6089999999995</v>
      </c>
      <c r="AFG3" s="314">
        <v>7694.861899999999</v>
      </c>
      <c r="AFH3" s="314">
        <v>7278.4129000000003</v>
      </c>
      <c r="AFI3" s="314">
        <v>7424</v>
      </c>
      <c r="AFJ3" s="314">
        <v>7310</v>
      </c>
      <c r="AFK3" s="314">
        <v>7325</v>
      </c>
      <c r="AFL3" s="314">
        <v>7226</v>
      </c>
      <c r="AFM3" s="314">
        <v>7217</v>
      </c>
      <c r="AFN3" s="314">
        <v>7417.5608999999995</v>
      </c>
      <c r="AFO3" s="314">
        <v>7435</v>
      </c>
      <c r="AFP3" s="314">
        <v>7307</v>
      </c>
      <c r="AFQ3" s="314">
        <v>7269</v>
      </c>
      <c r="AFR3" s="314">
        <v>7058</v>
      </c>
      <c r="AFS3" s="314">
        <v>7406</v>
      </c>
      <c r="AFT3" s="314">
        <v>7489</v>
      </c>
      <c r="AFU3" s="314">
        <v>7549</v>
      </c>
      <c r="AFV3" s="314">
        <v>7367</v>
      </c>
      <c r="AFW3" s="314">
        <v>7098</v>
      </c>
      <c r="AFX3" s="314">
        <v>7238</v>
      </c>
      <c r="AFY3" s="314">
        <v>7114</v>
      </c>
      <c r="AFZ3" s="314">
        <v>7153</v>
      </c>
      <c r="AGA3" s="314">
        <v>7062</v>
      </c>
      <c r="AGB3" s="314">
        <v>6938</v>
      </c>
      <c r="AGC3" s="314">
        <v>7209</v>
      </c>
      <c r="AGD3" s="314">
        <v>7519</v>
      </c>
      <c r="AGE3" s="314">
        <v>7752</v>
      </c>
      <c r="AGF3" s="314">
        <v>7844</v>
      </c>
      <c r="AGG3" s="314">
        <v>7910</v>
      </c>
      <c r="AGH3" s="314">
        <v>8012</v>
      </c>
      <c r="AGI3" s="314">
        <v>8109</v>
      </c>
      <c r="AGJ3" s="314">
        <v>8174</v>
      </c>
      <c r="AGK3" s="314">
        <v>8129</v>
      </c>
      <c r="AGL3" s="314">
        <v>7979</v>
      </c>
      <c r="AGM3" s="314">
        <v>8089</v>
      </c>
      <c r="AGN3" s="314">
        <v>8309</v>
      </c>
      <c r="AGO3" s="314">
        <v>8449</v>
      </c>
      <c r="AGP3" s="314">
        <v>12960</v>
      </c>
      <c r="AGQ3" s="314">
        <v>8562</v>
      </c>
      <c r="AGR3" s="314">
        <v>8676</v>
      </c>
      <c r="AGS3" s="314">
        <v>8652</v>
      </c>
      <c r="AGT3" s="314">
        <v>8770</v>
      </c>
      <c r="AGU3" s="314">
        <v>8674</v>
      </c>
      <c r="AGV3" s="314">
        <v>8774</v>
      </c>
      <c r="AGW3" s="314">
        <v>8913</v>
      </c>
      <c r="AGX3" s="314">
        <v>8914</v>
      </c>
      <c r="AGY3" s="314">
        <v>8925</v>
      </c>
      <c r="AGZ3" s="314">
        <v>8441</v>
      </c>
      <c r="AHA3" s="314">
        <v>8480</v>
      </c>
      <c r="AHB3" s="314">
        <v>8528</v>
      </c>
      <c r="AHC3" s="314">
        <v>8449</v>
      </c>
      <c r="AHD3" s="314">
        <v>8097</v>
      </c>
      <c r="AHE3" s="314">
        <v>8192</v>
      </c>
      <c r="AHF3" s="314">
        <v>8199</v>
      </c>
      <c r="AHG3" s="328">
        <v>8448</v>
      </c>
      <c r="AHH3" s="314">
        <v>8076</v>
      </c>
      <c r="AHI3" s="314">
        <v>8187</v>
      </c>
      <c r="AHJ3" s="314">
        <v>8306</v>
      </c>
      <c r="AHK3" s="314">
        <v>8349</v>
      </c>
      <c r="AHL3" s="314">
        <v>8261</v>
      </c>
      <c r="AHM3" s="314">
        <v>8060</v>
      </c>
      <c r="AHN3" s="314">
        <v>8078</v>
      </c>
      <c r="AHO3" s="314">
        <v>8118</v>
      </c>
      <c r="AHP3" s="314">
        <v>8168</v>
      </c>
      <c r="AHQ3" s="314">
        <v>8081</v>
      </c>
      <c r="AHR3" s="314">
        <v>7997</v>
      </c>
      <c r="AHS3" s="332">
        <v>7970</v>
      </c>
      <c r="AHT3" s="332">
        <v>7868</v>
      </c>
      <c r="AHU3" s="332">
        <v>7726</v>
      </c>
      <c r="AHV3" s="332">
        <v>7726</v>
      </c>
      <c r="AHW3" s="332">
        <v>8004</v>
      </c>
      <c r="AHX3" s="332">
        <v>8026</v>
      </c>
      <c r="AHY3" s="332">
        <v>7827</v>
      </c>
      <c r="AHZ3" s="332">
        <v>7917</v>
      </c>
      <c r="AIA3" s="332">
        <v>8092</v>
      </c>
      <c r="AIB3" s="332">
        <v>8102</v>
      </c>
      <c r="AIC3" s="332">
        <v>8111</v>
      </c>
      <c r="AID3" s="332">
        <v>7918</v>
      </c>
      <c r="AIE3" s="332">
        <v>8053</v>
      </c>
      <c r="AIF3" s="332">
        <v>7842</v>
      </c>
      <c r="AIG3" s="332">
        <v>7655</v>
      </c>
      <c r="AIH3" s="332">
        <v>7638</v>
      </c>
      <c r="AIJ3" s="87" t="s">
        <v>68</v>
      </c>
      <c r="AIK3" s="10">
        <f>[1]Summary!$C$12</f>
        <v>36.439366699999859</v>
      </c>
      <c r="AIL3" s="125">
        <f>IF((AIK3/AIR3)&gt;1,1,(AIK3/AIR3))</f>
        <v>0.36439366699999859</v>
      </c>
      <c r="AIM3" s="126">
        <f>IF((AIR3*0.9)-AIK3&lt;0,0,(AIR3*0.9)-AIK3)</f>
        <v>53.560633300000141</v>
      </c>
      <c r="AIN3" s="127"/>
      <c r="AIO3" s="10">
        <f>IF((AIR3*0.95-AIK3)&lt;0,0,(AIR3*0.95-AIK3))-AIN3</f>
        <v>58.560633300000141</v>
      </c>
      <c r="AIP3" s="87" t="s">
        <v>68</v>
      </c>
      <c r="AIQ3" s="8" t="s">
        <v>47</v>
      </c>
      <c r="AIR3" s="7">
        <f>MASTER_DATA!E6</f>
        <v>100</v>
      </c>
      <c r="AIS3" s="7">
        <f>MASTER_DATA!F6</f>
        <v>0</v>
      </c>
      <c r="AIT3" t="s">
        <v>113</v>
      </c>
      <c r="AJD3" s="85" t="s">
        <v>52</v>
      </c>
      <c r="AJE3" s="10">
        <v>623</v>
      </c>
      <c r="AJF3" s="9">
        <f>IF((AJE3/AJL3)&gt;1,1,(AJE3/AJL3))</f>
        <v>0.34611111111111109</v>
      </c>
      <c r="AJG3" s="45">
        <f>IF((AJL3*0.9)-AJE3&lt;0,0,(AJL3*0.9)-AJE3)</f>
        <v>997</v>
      </c>
      <c r="AJH3" s="48"/>
      <c r="AJI3" s="10">
        <f>IF((AJL3*0.9-AJE3)&lt;0,0,(AJL3*0.9-AJE3))-AJH3</f>
        <v>997</v>
      </c>
      <c r="AJJ3" s="6" t="s">
        <v>52</v>
      </c>
      <c r="AJK3" s="8" t="s">
        <v>47</v>
      </c>
      <c r="AJL3" s="78">
        <v>1800</v>
      </c>
      <c r="AJM3" s="7">
        <v>27000</v>
      </c>
      <c r="AJN3">
        <v>1800</v>
      </c>
      <c r="AJO3" t="s">
        <v>53</v>
      </c>
      <c r="AJP3" t="s">
        <v>114</v>
      </c>
      <c r="AJQ3" t="s">
        <v>115</v>
      </c>
      <c r="AJR3" s="50"/>
      <c r="AJS3" s="50"/>
    </row>
    <row r="4" spans="1:955" ht="30" x14ac:dyDescent="0.25">
      <c r="A4" s="6" t="s">
        <v>50</v>
      </c>
      <c r="B4" s="8" t="s">
        <v>47</v>
      </c>
      <c r="C4" s="7">
        <v>12300</v>
      </c>
      <c r="D4" s="7">
        <f>8546+(-893+1000)+(-7+500)</f>
        <v>9146</v>
      </c>
      <c r="E4" s="7">
        <f>8623+(-921+1000)+(-32+500)</f>
        <v>9170</v>
      </c>
      <c r="F4" s="7">
        <f>8517+(-847+1000)+(-32+500)</f>
        <v>9138</v>
      </c>
      <c r="G4" s="7">
        <f>8454+(-873+1000)+(-32+500)</f>
        <v>9049</v>
      </c>
      <c r="H4" s="7">
        <f>8454+(-873+1000)+(-32+500)</f>
        <v>9049</v>
      </c>
      <c r="I4" s="7">
        <f>8488+(-923+1000)+(-39+500)</f>
        <v>9026</v>
      </c>
      <c r="J4" s="7">
        <f>8569+(-954+1000)+(-39+500)</f>
        <v>9076</v>
      </c>
      <c r="K4" s="7">
        <f>8569+(-964+1000)+(-39+500)</f>
        <v>9066</v>
      </c>
      <c r="L4" s="7">
        <f>8202+(-754+1000)+(-39+500)</f>
        <v>8909</v>
      </c>
      <c r="M4" s="7">
        <f>8202+(-689+1000)+(-39+500)</f>
        <v>8974</v>
      </c>
      <c r="N4" s="7">
        <f>8127+(-469+1000)+(-39+500)</f>
        <v>9119</v>
      </c>
      <c r="O4" s="7">
        <f>8165+(-335+1000)+(-39+500)</f>
        <v>9291</v>
      </c>
      <c r="P4" s="7">
        <f>8158+(-391+1000)+(-39+500)</f>
        <v>9228</v>
      </c>
      <c r="Q4" s="7">
        <f>8027+(-457+1000)+(-39+500)</f>
        <v>9031</v>
      </c>
      <c r="R4" s="7">
        <f>8337+(-457+1000)+(-39+500)</f>
        <v>9341</v>
      </c>
      <c r="S4" s="7">
        <f>8414+(-634+1000)+(-39+500)</f>
        <v>9241</v>
      </c>
      <c r="T4" s="7">
        <f>8920+(-659+1000)+(-39+500)</f>
        <v>9722</v>
      </c>
      <c r="U4" s="7">
        <f>8920+(-637+1000)+(-39+500)</f>
        <v>9744</v>
      </c>
      <c r="V4" s="7">
        <f>9076+(-706+1000)+(-39+500)</f>
        <v>9831</v>
      </c>
      <c r="W4" s="7"/>
      <c r="X4" s="7"/>
      <c r="Y4" s="7">
        <f>9076+(-563+1000)+(-39+500)</f>
        <v>9974</v>
      </c>
      <c r="Z4" s="7">
        <f>9046+(-589+1000)+(-39+500)</f>
        <v>9918</v>
      </c>
      <c r="AA4" s="7">
        <f>8981+(-638+1000)+(-39+500)</f>
        <v>9804</v>
      </c>
      <c r="AB4" s="7">
        <f>9298+(-662+1000)+(-39+500)</f>
        <v>10097</v>
      </c>
      <c r="AC4" s="7">
        <f>9020+(-535+1000)+(-39+500)</f>
        <v>9946</v>
      </c>
      <c r="AD4" s="7"/>
      <c r="AE4" s="7">
        <f>8738+(-664+1000)+(-39+500)</f>
        <v>9535</v>
      </c>
      <c r="AF4" s="7">
        <f>9384+(-715+1000)+(-39+500)</f>
        <v>10130</v>
      </c>
      <c r="AG4" s="7">
        <f>9676+(-560+1000)+(-39+500)</f>
        <v>10577</v>
      </c>
      <c r="AH4" s="7">
        <f>9812+(-646+1000)+(-39+500)</f>
        <v>10627</v>
      </c>
      <c r="AI4" s="7">
        <f>9922+(-667+1000)+(-39+500)</f>
        <v>10716</v>
      </c>
      <c r="AJ4" s="7">
        <f>10521+(-682+1000)+(-39+500)</f>
        <v>11300</v>
      </c>
      <c r="AK4" s="7">
        <f>10484+(-764+1000)+(-39+500)</f>
        <v>11181</v>
      </c>
      <c r="AL4" s="7">
        <f>10431+(-203+1000)+(-39+500)</f>
        <v>11689</v>
      </c>
      <c r="AM4" s="7">
        <f>10358+(-252+1000)+(-39-97+500)</f>
        <v>11470</v>
      </c>
      <c r="AN4" s="7">
        <f>10411+(-326+1000)+(-39-102+500)</f>
        <v>11444</v>
      </c>
      <c r="AO4" s="7">
        <f>10411+(-379+1000)+(-39-102+500)</f>
        <v>11391</v>
      </c>
      <c r="AP4" s="7">
        <f>10190+(-406+1000)+(-39-102+500)</f>
        <v>11143</v>
      </c>
      <c r="AQ4" s="7">
        <f>10352+(-457+1000)+(-39-102+500)</f>
        <v>11254</v>
      </c>
      <c r="AR4" s="7">
        <f>10413+(-605+1000)+(-39-102+500)</f>
        <v>11167</v>
      </c>
      <c r="AS4" s="7">
        <f>10789+(-670+1000)+(-39-102+500)</f>
        <v>11478</v>
      </c>
      <c r="AT4" s="7">
        <f>10993+(-670+1000)+(-39-102+500)</f>
        <v>11682</v>
      </c>
      <c r="AU4" s="7">
        <f>11051+(-523+1000)+(-39-114+500)</f>
        <v>11875</v>
      </c>
      <c r="AV4" s="7">
        <f>10701+(-445+1000)+(-39-114+500)</f>
        <v>11603</v>
      </c>
      <c r="AW4" s="7">
        <f>10700+(-472+1000)+(-39-117+500)</f>
        <v>11572</v>
      </c>
      <c r="AX4" s="7">
        <f>10351+(-631+1000)+(-39-125+500)</f>
        <v>11056</v>
      </c>
      <c r="AY4" s="7">
        <f>10371+(-631+1000)+(-7-126+500)</f>
        <v>11107</v>
      </c>
      <c r="AZ4" s="7">
        <f>10368+(-465+1000)+(-7-101+500)</f>
        <v>11295</v>
      </c>
      <c r="BA4" s="7">
        <f>10082+(-155+1000)+(-7-114+500)</f>
        <v>11306</v>
      </c>
      <c r="BB4" s="7">
        <f>10240+(-40+1000)+(-7-114+500)</f>
        <v>11579</v>
      </c>
      <c r="BC4" s="7">
        <f>10308+(-11+1000)+(-7-101+500)</f>
        <v>11689</v>
      </c>
      <c r="BD4" s="7">
        <f>10055+(-11+1000)+(-7-140+500)</f>
        <v>11397</v>
      </c>
      <c r="BE4" s="7">
        <f>10055+(-11+1000)+(-7-141+500)</f>
        <v>11396</v>
      </c>
      <c r="BF4" s="7">
        <f>9923+(-11+1000)+(-7-137+500)</f>
        <v>11268</v>
      </c>
      <c r="BG4" s="7">
        <f>9720+(-11+1000)+(-7-137+500)</f>
        <v>11065</v>
      </c>
      <c r="BH4" s="7">
        <f>9983+(-11+1000)+(-7-137+500)</f>
        <v>11328</v>
      </c>
      <c r="BI4" s="7">
        <f>9955+(-11+1000)+(-7-135+500)</f>
        <v>11302</v>
      </c>
      <c r="BJ4" s="7">
        <f>10210+(-11+1000)+(-7-135+500)</f>
        <v>11557</v>
      </c>
      <c r="BK4" s="7">
        <f>10251+(-11+1000)+(-7-138+500)</f>
        <v>11595</v>
      </c>
      <c r="BL4" s="7">
        <f>10576+(-11+1000)+(-7-141+500)</f>
        <v>11917</v>
      </c>
      <c r="BM4" s="7">
        <f>10325+(-11+1000)+(-7-142+500)</f>
        <v>11665</v>
      </c>
      <c r="BN4" s="7">
        <f>10314+(-11+1000)+(-7-142+500)</f>
        <v>11654</v>
      </c>
      <c r="BO4" s="7">
        <f>10022+(-11+1000)+(-7-144+500)</f>
        <v>11360</v>
      </c>
      <c r="BP4" s="7">
        <f>9883+(-11+1000)+(-7-144+500)</f>
        <v>11221</v>
      </c>
      <c r="BQ4" s="7">
        <f>9883+(-11+1000)+(-7-144+500)</f>
        <v>11221</v>
      </c>
      <c r="BR4" s="7">
        <f>9937+(-11+1000)+(-7-148+500)</f>
        <v>11271</v>
      </c>
      <c r="BS4" s="7">
        <f>9749+(-7-152+500)</f>
        <v>10090</v>
      </c>
      <c r="BT4" s="7">
        <f>9644+(-7-152+500)</f>
        <v>9985</v>
      </c>
      <c r="BU4" s="7">
        <f>9496+(-7-154+500)</f>
        <v>9835</v>
      </c>
      <c r="BV4" s="7">
        <f>9496+(-7-154+500)</f>
        <v>9835</v>
      </c>
      <c r="BW4" s="7">
        <f>9504+(-7-145+500)</f>
        <v>9852</v>
      </c>
      <c r="BX4" s="7">
        <f>9445+(-7-145+500)</f>
        <v>9793</v>
      </c>
      <c r="BY4" s="7">
        <f>9572+(-7-145+500)</f>
        <v>9920</v>
      </c>
      <c r="BZ4" s="7">
        <f>8955+(-7-127+500)</f>
        <v>9321</v>
      </c>
      <c r="CA4" s="7">
        <f>8955+(-7-117+500)</f>
        <v>9331</v>
      </c>
      <c r="CB4" s="7">
        <f>8855+(-7-117+500)</f>
        <v>9231</v>
      </c>
      <c r="CC4" s="7">
        <f>8591+(-7-118+500)</f>
        <v>8966</v>
      </c>
      <c r="CD4" s="7">
        <f>8620+(-7-118+500)</f>
        <v>8995</v>
      </c>
      <c r="CE4" s="7">
        <f>8474+(-7-118+500)</f>
        <v>8849</v>
      </c>
      <c r="CF4" s="7">
        <f>8492+(-7-119+500)</f>
        <v>8866</v>
      </c>
      <c r="CG4" s="7">
        <f>8413+(-7-96+500)</f>
        <v>8810</v>
      </c>
      <c r="CH4" s="7">
        <f>8500+(-7-94+500)</f>
        <v>8899</v>
      </c>
      <c r="CI4" s="7">
        <f>8500+(-7-94+500)</f>
        <v>8899</v>
      </c>
      <c r="CJ4" s="7">
        <f>8337+(-7-94+500)</f>
        <v>8736</v>
      </c>
      <c r="CK4" s="7">
        <f>8556+(-7-94+500)</f>
        <v>8955</v>
      </c>
      <c r="CL4" s="7">
        <f>7096+(-7-94+500)</f>
        <v>7495</v>
      </c>
      <c r="CM4" s="7">
        <f>7301+(-7-94+500)</f>
        <v>7700</v>
      </c>
      <c r="CN4" s="7">
        <f>7643+(-7-48+500)</f>
        <v>8088</v>
      </c>
      <c r="CO4" s="7">
        <f>7718+(-7-48+500)</f>
        <v>8163</v>
      </c>
      <c r="CP4" s="7">
        <f>8525+(-7-53+500)</f>
        <v>8965</v>
      </c>
      <c r="CQ4" s="7">
        <f>8479+(-7-52+500)</f>
        <v>8920</v>
      </c>
      <c r="CR4" s="7">
        <f>8394+(-7-52+500)</f>
        <v>8835</v>
      </c>
      <c r="CS4" s="7">
        <f>8026+(-7-48+500)</f>
        <v>8471</v>
      </c>
      <c r="CT4" s="7">
        <f>8070+(-7-49+500)</f>
        <v>8514</v>
      </c>
      <c r="CU4" s="7">
        <f>8116+(-7-49+500)</f>
        <v>8560</v>
      </c>
      <c r="CV4" s="7">
        <f>8380+(-7-49+500)</f>
        <v>8824</v>
      </c>
      <c r="CW4" s="7">
        <f>8374+(-7-49+500)</f>
        <v>8818</v>
      </c>
      <c r="CX4" s="7">
        <f>8411+(-7-49+500)</f>
        <v>8855</v>
      </c>
      <c r="CY4" s="7">
        <f>8305+(-7-33+500)</f>
        <v>8765</v>
      </c>
      <c r="CZ4" s="7">
        <f>8462+(-7-33+500)</f>
        <v>8922</v>
      </c>
      <c r="DA4" s="7">
        <f>8620+(-7-90+500)</f>
        <v>9023</v>
      </c>
      <c r="DB4" s="7">
        <f>8619+(-7-57+500)</f>
        <v>9055</v>
      </c>
      <c r="DC4" s="7">
        <f>8562+(-7-57+500)</f>
        <v>8998</v>
      </c>
      <c r="DD4" s="7">
        <f>8702+(-7-57+500)</f>
        <v>9138</v>
      </c>
      <c r="DE4" s="7">
        <f>8775+(-7-57+500)</f>
        <v>9211</v>
      </c>
      <c r="DF4" s="7">
        <f>8650+(-7-57+500)</f>
        <v>9086</v>
      </c>
      <c r="DG4" s="7">
        <f>8696+(-7-57+500)</f>
        <v>9132</v>
      </c>
      <c r="DH4" s="7">
        <f>8579+(-7-58+500)</f>
        <v>9014</v>
      </c>
      <c r="DI4" s="7">
        <f>8811+(-7-58+500)</f>
        <v>9246</v>
      </c>
      <c r="DJ4" s="7">
        <f>9487+(-7-76+500)</f>
        <v>9904</v>
      </c>
      <c r="DK4" s="7">
        <f>9487+(-7-80+500)</f>
        <v>9900</v>
      </c>
      <c r="DL4" s="7">
        <f>9576+(-7-80+500)</f>
        <v>9989</v>
      </c>
      <c r="DM4" s="7">
        <f>9591+(-7-76+500)</f>
        <v>10008</v>
      </c>
      <c r="DN4" s="7">
        <f>9858+(-7-71+500)</f>
        <v>10280</v>
      </c>
      <c r="DO4" s="7">
        <f>9858+(-7-71+500)</f>
        <v>10280</v>
      </c>
      <c r="DP4" s="7">
        <f>10467+(-7-71+500)</f>
        <v>10889</v>
      </c>
      <c r="DQ4" s="7">
        <f>10464+(-7-72+500)</f>
        <v>10885</v>
      </c>
      <c r="DR4" s="7">
        <f>10645+(-7-71+500)</f>
        <v>11067</v>
      </c>
      <c r="DS4" s="7">
        <f>10764+(-7-79+500)+550</f>
        <v>11728</v>
      </c>
      <c r="DT4" s="7">
        <f>10922+(-7-132+500)+400</f>
        <v>11683</v>
      </c>
      <c r="DU4" s="7">
        <f>11228+(-7-132+500)+430</f>
        <v>12019</v>
      </c>
      <c r="DV4" s="7">
        <f>10899+(-7-133+500)+515</f>
        <v>11774</v>
      </c>
      <c r="DW4" s="7">
        <f>10875+(-7-128+500)+607</f>
        <v>11847</v>
      </c>
      <c r="DX4" s="7">
        <f>11065+(-7-124+500)+314</f>
        <v>11748</v>
      </c>
      <c r="DY4" s="7">
        <f>11134+(-7-160+500)+908</f>
        <v>12375</v>
      </c>
      <c r="DZ4" s="7">
        <f>11501+(-7-113+500)+1000</f>
        <v>12881</v>
      </c>
      <c r="EA4" s="7">
        <f>11942+(-7-113+500)+700</f>
        <v>13022</v>
      </c>
      <c r="EB4" s="7">
        <f>12150+(-7-113+500)</f>
        <v>12530</v>
      </c>
      <c r="EC4" s="7">
        <f>12066+(-7-108+500)</f>
        <v>12451</v>
      </c>
      <c r="ED4" s="7">
        <f>12437+(-7-118+500)+600</f>
        <v>13412</v>
      </c>
      <c r="EE4" s="7">
        <f>12427+(-7-123+500)+600</f>
        <v>13397</v>
      </c>
      <c r="EF4" s="7">
        <f>12899+(-7-143+500)+1000</f>
        <v>14249</v>
      </c>
      <c r="EG4" s="7">
        <f>12781+(-7-155+500)+1000</f>
        <v>14119</v>
      </c>
      <c r="EH4" s="7">
        <f>12780+(-7-158+500)+255</f>
        <v>13370</v>
      </c>
      <c r="EI4" s="7">
        <f>12896+(-7-148+500)+255</f>
        <v>13496</v>
      </c>
      <c r="EJ4" s="7">
        <f>12875+(-7-146+500)+66</f>
        <v>13288</v>
      </c>
      <c r="EK4" s="7">
        <f>12460+(-7-38+500)+200</f>
        <v>13115</v>
      </c>
      <c r="EL4" s="7">
        <f>12469+(-7-38+500)+180</f>
        <v>13104</v>
      </c>
      <c r="EM4" s="7">
        <f>12469+(-7-38+500)+180</f>
        <v>13104</v>
      </c>
      <c r="EN4" s="7">
        <f>12289+(-7-38+500)+150</f>
        <v>12894</v>
      </c>
      <c r="EO4" s="7">
        <f>12289+(-7-38+500)+150</f>
        <v>12894</v>
      </c>
      <c r="EP4" s="7">
        <f>12055+(-7-38+500)+150</f>
        <v>12660</v>
      </c>
      <c r="EQ4" s="7">
        <f>11698+(-7-38+500)</f>
        <v>12153</v>
      </c>
      <c r="ER4" s="7">
        <f>11410+(-7-38+500)+25</f>
        <v>11890</v>
      </c>
      <c r="ES4" s="7">
        <f>11470+(-8-36+500)+10</f>
        <v>11936</v>
      </c>
      <c r="ET4" s="7">
        <f>11722+(-8-36+500)</f>
        <v>12178</v>
      </c>
      <c r="EU4" s="7">
        <f>11939+(-8-36+500)</f>
        <v>12395</v>
      </c>
      <c r="EV4" s="7">
        <f>11891+(-8-36+500)</f>
        <v>12347</v>
      </c>
      <c r="EW4" s="7">
        <f>12307+(-8-36+500)</f>
        <v>12763</v>
      </c>
      <c r="EX4" s="7">
        <f>12307+(-8-36+500)</f>
        <v>12763</v>
      </c>
      <c r="EY4" s="7">
        <f>12513+(-8-40+500)</f>
        <v>12965</v>
      </c>
      <c r="EZ4" s="7">
        <f>11300+(-7+500)</f>
        <v>11793</v>
      </c>
      <c r="FA4" s="7">
        <f>11377+(-7+500)</f>
        <v>11870</v>
      </c>
      <c r="FB4" s="7">
        <f>11572+(-7+500)</f>
        <v>12065</v>
      </c>
      <c r="FC4" s="7">
        <f>11572+(-7+500)</f>
        <v>12065</v>
      </c>
      <c r="FD4" s="7">
        <f>12317</f>
        <v>12317</v>
      </c>
      <c r="FE4" s="7">
        <v>12143</v>
      </c>
      <c r="FF4" s="7">
        <v>12055</v>
      </c>
      <c r="FG4" s="7">
        <v>12039</v>
      </c>
      <c r="FH4" s="7">
        <v>12039</v>
      </c>
      <c r="FI4" s="7">
        <v>12215</v>
      </c>
      <c r="FJ4" s="7">
        <v>12158</v>
      </c>
      <c r="FK4" s="7">
        <v>12054</v>
      </c>
      <c r="FL4" s="7">
        <v>11960</v>
      </c>
      <c r="FM4" s="7">
        <v>12119</v>
      </c>
      <c r="FN4" s="7">
        <v>12286</v>
      </c>
      <c r="FO4" s="7">
        <v>12008</v>
      </c>
      <c r="FP4" s="7">
        <v>12085</v>
      </c>
      <c r="FQ4" s="7">
        <v>12202</v>
      </c>
      <c r="FR4" s="7">
        <v>12568</v>
      </c>
      <c r="FS4" s="7">
        <v>12675</v>
      </c>
      <c r="FT4" s="7">
        <v>12675</v>
      </c>
      <c r="FU4" s="7">
        <v>12677</v>
      </c>
      <c r="FV4" s="7">
        <v>12690</v>
      </c>
      <c r="FW4" s="7">
        <v>13037</v>
      </c>
      <c r="FX4" s="7">
        <v>12801</v>
      </c>
      <c r="FY4" s="7"/>
      <c r="FZ4" s="7">
        <v>12652</v>
      </c>
      <c r="GA4" s="7">
        <v>12799</v>
      </c>
      <c r="GB4" s="7">
        <v>13085</v>
      </c>
      <c r="GC4" s="7">
        <v>14114</v>
      </c>
      <c r="GD4" s="7">
        <v>14359</v>
      </c>
      <c r="GE4" s="7">
        <v>14506</v>
      </c>
      <c r="GF4" s="7">
        <v>14436</v>
      </c>
      <c r="GG4" s="7">
        <v>14550</v>
      </c>
      <c r="GH4" s="7">
        <v>14372</v>
      </c>
      <c r="GI4" s="7">
        <v>14259</v>
      </c>
      <c r="GJ4" s="7">
        <v>13268</v>
      </c>
      <c r="GK4" s="7">
        <v>13083</v>
      </c>
      <c r="GL4" s="7">
        <v>13316</v>
      </c>
      <c r="GM4" s="7">
        <v>13276</v>
      </c>
      <c r="GN4" s="7">
        <v>13509</v>
      </c>
      <c r="GO4" s="7">
        <v>13331</v>
      </c>
      <c r="GP4" s="7">
        <v>13473</v>
      </c>
      <c r="GQ4" s="7">
        <v>13303</v>
      </c>
      <c r="GR4" s="7">
        <v>13255</v>
      </c>
      <c r="GS4" s="7">
        <v>13156</v>
      </c>
      <c r="GT4" s="7">
        <v>12432</v>
      </c>
      <c r="GU4" s="7">
        <v>12314</v>
      </c>
      <c r="GV4" s="7">
        <v>12656</v>
      </c>
      <c r="GW4" s="7">
        <v>13183</v>
      </c>
      <c r="GX4" s="7">
        <v>12920</v>
      </c>
      <c r="GY4" s="7">
        <v>12424</v>
      </c>
      <c r="GZ4" s="7">
        <v>12578</v>
      </c>
      <c r="HA4" s="7">
        <v>12289</v>
      </c>
      <c r="HB4" s="7">
        <v>12203</v>
      </c>
      <c r="HC4" s="7">
        <v>12370</v>
      </c>
      <c r="HD4" s="7">
        <v>12438</v>
      </c>
      <c r="HE4" s="7">
        <v>12632</v>
      </c>
      <c r="HF4" s="7">
        <v>12872</v>
      </c>
      <c r="HG4" s="7">
        <v>13096</v>
      </c>
      <c r="HH4" s="7">
        <v>13213</v>
      </c>
      <c r="HI4" s="7">
        <v>12755</v>
      </c>
      <c r="HJ4" s="7">
        <v>12927</v>
      </c>
      <c r="HK4" s="7">
        <v>13255</v>
      </c>
      <c r="HL4" s="7">
        <v>13184</v>
      </c>
      <c r="HM4" s="7">
        <v>13135</v>
      </c>
      <c r="HN4" s="7">
        <v>13055</v>
      </c>
      <c r="HO4" s="7">
        <v>14126</v>
      </c>
      <c r="HP4" s="7">
        <v>14347</v>
      </c>
      <c r="HQ4" s="7">
        <v>14984</v>
      </c>
      <c r="HR4" s="7">
        <v>15545</v>
      </c>
      <c r="HS4" s="7">
        <v>15545</v>
      </c>
      <c r="HT4" s="7">
        <v>15977</v>
      </c>
      <c r="HU4" s="7">
        <v>16404</v>
      </c>
      <c r="HV4" s="7">
        <v>16795</v>
      </c>
      <c r="HW4" s="7">
        <v>17062</v>
      </c>
      <c r="HX4" s="7">
        <v>17131</v>
      </c>
      <c r="HY4" s="7">
        <v>17152</v>
      </c>
      <c r="HZ4" s="7">
        <v>17492</v>
      </c>
      <c r="IA4" s="7">
        <v>17283</v>
      </c>
      <c r="IB4" s="7">
        <v>17383</v>
      </c>
      <c r="IC4" s="7">
        <v>17443</v>
      </c>
      <c r="ID4" s="7">
        <v>17562</v>
      </c>
      <c r="IE4" s="7">
        <v>17812</v>
      </c>
      <c r="IF4" s="7">
        <v>17970</v>
      </c>
      <c r="IG4" s="7">
        <v>17928</v>
      </c>
      <c r="IH4" s="7">
        <v>18040</v>
      </c>
      <c r="II4" s="7">
        <v>17739</v>
      </c>
      <c r="IJ4" s="7">
        <v>17306</v>
      </c>
      <c r="IK4" s="7">
        <v>17386</v>
      </c>
      <c r="IL4" s="7">
        <v>17386</v>
      </c>
      <c r="IM4" s="7">
        <v>16596</v>
      </c>
      <c r="IN4" s="7">
        <v>16012</v>
      </c>
      <c r="IO4" s="7">
        <v>16064</v>
      </c>
      <c r="IP4" s="7">
        <v>16235</v>
      </c>
      <c r="IQ4" s="7">
        <v>16342</v>
      </c>
      <c r="IR4" s="7">
        <v>16340</v>
      </c>
      <c r="IS4" s="7">
        <v>16154</v>
      </c>
      <c r="IT4" s="7">
        <v>16130</v>
      </c>
      <c r="IU4" s="7">
        <v>15865</v>
      </c>
      <c r="IV4" s="7">
        <v>15991</v>
      </c>
      <c r="IW4" s="7">
        <v>15993</v>
      </c>
      <c r="IX4" s="7">
        <v>15988</v>
      </c>
      <c r="IY4" s="7">
        <v>15538</v>
      </c>
      <c r="IZ4" s="7">
        <v>15336</v>
      </c>
      <c r="JA4" s="7">
        <v>16407</v>
      </c>
      <c r="JB4" s="7">
        <v>16438</v>
      </c>
      <c r="JC4" s="7">
        <v>16671</v>
      </c>
      <c r="JD4" s="7">
        <v>18031</v>
      </c>
      <c r="JE4" s="7">
        <v>18025</v>
      </c>
      <c r="JF4" s="7">
        <v>17970</v>
      </c>
      <c r="JG4" s="7">
        <v>18086</v>
      </c>
      <c r="JH4" s="7">
        <v>18822</v>
      </c>
      <c r="JI4" s="7">
        <v>18922</v>
      </c>
      <c r="JJ4" s="7">
        <v>19200</v>
      </c>
      <c r="JK4" s="7">
        <v>19861</v>
      </c>
      <c r="JL4" s="7">
        <v>19438</v>
      </c>
      <c r="JM4" s="7">
        <v>18979</v>
      </c>
      <c r="JN4" s="7">
        <v>18482</v>
      </c>
      <c r="JO4" s="7">
        <v>18623</v>
      </c>
      <c r="JP4" s="7">
        <v>18064</v>
      </c>
      <c r="JQ4" s="7">
        <v>17972</v>
      </c>
      <c r="JR4" s="7">
        <v>18396</v>
      </c>
      <c r="JS4" s="7">
        <v>18149</v>
      </c>
      <c r="JT4" s="7">
        <v>17629</v>
      </c>
      <c r="JU4" s="7">
        <v>16993</v>
      </c>
      <c r="JV4" s="7">
        <v>16870</v>
      </c>
      <c r="JW4" s="103">
        <v>16746</v>
      </c>
      <c r="JX4" s="475"/>
      <c r="JY4" s="24" t="s">
        <v>50</v>
      </c>
      <c r="JZ4" s="6" t="s">
        <v>47</v>
      </c>
      <c r="KA4" s="15"/>
      <c r="KB4" s="6" t="s">
        <v>50</v>
      </c>
      <c r="KC4" s="7">
        <v>16562</v>
      </c>
      <c r="KD4" s="7">
        <v>16264</v>
      </c>
      <c r="KE4" s="7">
        <v>15779</v>
      </c>
      <c r="KF4" s="7">
        <v>15725</v>
      </c>
      <c r="KG4" s="7">
        <v>16029</v>
      </c>
      <c r="KH4" s="7">
        <v>15786</v>
      </c>
      <c r="KI4" s="7">
        <v>15524</v>
      </c>
      <c r="KJ4" s="7">
        <v>15595</v>
      </c>
      <c r="KL4" s="6" t="s">
        <v>50</v>
      </c>
      <c r="KM4" s="7">
        <v>15639</v>
      </c>
      <c r="KN4" s="7">
        <v>15443</v>
      </c>
      <c r="KO4" s="7">
        <v>15572</v>
      </c>
      <c r="KP4" s="7">
        <v>15404</v>
      </c>
      <c r="KQ4" s="7">
        <v>15234</v>
      </c>
      <c r="KR4" s="7">
        <v>14918</v>
      </c>
      <c r="KS4" s="7">
        <v>15369</v>
      </c>
      <c r="KT4" s="7">
        <v>15939</v>
      </c>
      <c r="KU4" s="7">
        <v>15411</v>
      </c>
      <c r="KV4" s="7">
        <v>15189</v>
      </c>
      <c r="KW4" s="7">
        <v>15345</v>
      </c>
      <c r="KX4" s="7">
        <v>15446</v>
      </c>
      <c r="KY4" s="7">
        <v>15289</v>
      </c>
      <c r="KZ4" s="7">
        <v>15181</v>
      </c>
      <c r="LA4" s="7">
        <v>15181</v>
      </c>
      <c r="LB4" s="7">
        <v>15126</v>
      </c>
      <c r="LC4" s="7">
        <v>15326</v>
      </c>
      <c r="LD4" s="7">
        <v>14628</v>
      </c>
      <c r="LE4" s="7">
        <v>14628</v>
      </c>
      <c r="LF4" s="7">
        <v>15020</v>
      </c>
      <c r="LG4" s="10">
        <f>14447+761-31.85</f>
        <v>15176.15</v>
      </c>
      <c r="LH4" s="10">
        <f>14615+761-31.85</f>
        <v>15344.15</v>
      </c>
      <c r="LI4" s="10">
        <f>14030+761-31.85</f>
        <v>14759.15</v>
      </c>
      <c r="LJ4" s="10">
        <f>13998+761-77</f>
        <v>14682</v>
      </c>
      <c r="LK4" s="10">
        <f>14392+761-110</f>
        <v>15043</v>
      </c>
      <c r="LL4" s="10">
        <f>14422+761-131</f>
        <v>15052</v>
      </c>
      <c r="LM4" s="10">
        <f>14537+761-133</f>
        <v>15165</v>
      </c>
      <c r="LN4" s="10">
        <f>14344+761-142</f>
        <v>14963</v>
      </c>
      <c r="LO4" s="10">
        <f>14286+761-175</f>
        <v>14872</v>
      </c>
      <c r="LP4" s="10">
        <f>14740+761-202</f>
        <v>15299</v>
      </c>
      <c r="LQ4" s="10">
        <f>14753+761-221</f>
        <v>15293</v>
      </c>
      <c r="LR4" s="10">
        <f>14946+761-244</f>
        <v>15463</v>
      </c>
      <c r="LS4" s="10">
        <f>14842+761-270</f>
        <v>15333</v>
      </c>
      <c r="LT4" s="10">
        <f>14776+761-294</f>
        <v>15243</v>
      </c>
      <c r="LU4" s="10">
        <f>15265+761-338</f>
        <v>15688</v>
      </c>
      <c r="LV4" s="10">
        <f>15179+761-368</f>
        <v>15572</v>
      </c>
      <c r="LW4" s="10">
        <f>15346+761-413</f>
        <v>15694</v>
      </c>
      <c r="LX4" s="10">
        <f>15354+761-444</f>
        <v>15671</v>
      </c>
      <c r="LY4" s="10">
        <f>15528+761-435</f>
        <v>15854</v>
      </c>
      <c r="LZ4" s="10">
        <f>15087+761-468</f>
        <v>15380</v>
      </c>
      <c r="MA4" s="10">
        <f>15207+761-498</f>
        <v>15470</v>
      </c>
      <c r="MB4" s="10">
        <f>15044+761-516</f>
        <v>15289</v>
      </c>
      <c r="MC4" s="10">
        <f>15178+761-532</f>
        <v>15407</v>
      </c>
      <c r="MD4" s="10">
        <f>14755+761-536</f>
        <v>14980</v>
      </c>
      <c r="ME4" s="10">
        <f>14735+761-605</f>
        <v>14891</v>
      </c>
      <c r="MF4" s="10">
        <f>15149+761-637</f>
        <v>15273</v>
      </c>
      <c r="MG4" s="10">
        <f>15071+761-627</f>
        <v>15205</v>
      </c>
      <c r="MH4" s="10">
        <f>15182+761-643</f>
        <v>15300</v>
      </c>
      <c r="MI4" s="10">
        <f>15559+761-674</f>
        <v>15646</v>
      </c>
      <c r="MJ4" s="10">
        <f>15407+761-729</f>
        <v>15439</v>
      </c>
      <c r="MK4" s="10">
        <f>15684+761-750</f>
        <v>15695</v>
      </c>
      <c r="ML4" s="10">
        <f>15964+761-775</f>
        <v>15950</v>
      </c>
      <c r="MM4" s="10">
        <f>16160+761-711</f>
        <v>16210</v>
      </c>
      <c r="MN4" s="10">
        <f>15897+761-723</f>
        <v>15935</v>
      </c>
      <c r="MO4" s="10">
        <f>15567+761-774</f>
        <v>15554</v>
      </c>
      <c r="MP4" s="10">
        <f>16058+761-799</f>
        <v>16020</v>
      </c>
      <c r="MQ4" s="10">
        <f>15648+761-782</f>
        <v>15627</v>
      </c>
      <c r="MR4" s="10">
        <f>15609+761-830</f>
        <v>15540</v>
      </c>
      <c r="MS4" s="10">
        <f>16086+761-864</f>
        <v>15983</v>
      </c>
      <c r="MT4" s="10">
        <f>16480+761-866</f>
        <v>16375</v>
      </c>
      <c r="MU4" s="10">
        <f>16401+761-848</f>
        <v>16314</v>
      </c>
      <c r="MV4" s="10">
        <f>16253+761-888</f>
        <v>16126</v>
      </c>
      <c r="MW4" s="10">
        <f>16368+761-891</f>
        <v>16238</v>
      </c>
      <c r="MX4" s="10">
        <f>16720+761-903</f>
        <v>16578</v>
      </c>
      <c r="MY4" s="10">
        <f>16720+761-903</f>
        <v>16578</v>
      </c>
      <c r="MZ4" s="10">
        <f>17023+761-896</f>
        <v>16888</v>
      </c>
      <c r="NA4" s="10">
        <f>16861+761-926</f>
        <v>16696</v>
      </c>
      <c r="NB4" s="10">
        <f>17148+761-923</f>
        <v>16986</v>
      </c>
      <c r="NC4" s="10">
        <f>17087+761-923</f>
        <v>16925</v>
      </c>
      <c r="ND4" s="10">
        <f>16764+761-924</f>
        <v>16601</v>
      </c>
      <c r="NE4" s="10">
        <f>16200+761-914</f>
        <v>16047</v>
      </c>
      <c r="NF4" s="10">
        <f>16055+761-915</f>
        <v>15901</v>
      </c>
      <c r="NG4" s="10">
        <f>16141+761-858</f>
        <v>16044</v>
      </c>
      <c r="NH4" s="10">
        <f>15332+761-537</f>
        <v>15556</v>
      </c>
      <c r="NI4" s="10">
        <f>14297+761-279</f>
        <v>14779</v>
      </c>
      <c r="NJ4" s="10">
        <f>14298+761-279</f>
        <v>14780</v>
      </c>
      <c r="NK4" s="10">
        <f>14320+761-240</f>
        <v>14841</v>
      </c>
      <c r="NL4" s="10">
        <f>14516+761-83</f>
        <v>15194</v>
      </c>
      <c r="NM4" s="10">
        <f>14490+761-83</f>
        <v>15168</v>
      </c>
      <c r="NN4" s="10">
        <f>13891+761-83</f>
        <v>14569</v>
      </c>
      <c r="NO4" s="10">
        <f>13804+761-83</f>
        <v>14482</v>
      </c>
      <c r="NP4" s="10">
        <f>13721+761-83</f>
        <v>14399</v>
      </c>
      <c r="NQ4" s="10">
        <f>13350+761-83.87</f>
        <v>14027.13</v>
      </c>
      <c r="NR4" s="10">
        <f>13154+761-83.87</f>
        <v>13831.13</v>
      </c>
      <c r="NS4" s="10">
        <f>12803</f>
        <v>12803</v>
      </c>
      <c r="NT4" s="10">
        <f>12800</f>
        <v>12800</v>
      </c>
      <c r="NU4" s="10">
        <f>12931</f>
        <v>12931</v>
      </c>
      <c r="NV4" s="10">
        <f>13061</f>
        <v>13061</v>
      </c>
      <c r="NW4" s="10">
        <v>13248</v>
      </c>
      <c r="NX4" s="10">
        <v>13315</v>
      </c>
      <c r="NY4" s="10">
        <v>13216</v>
      </c>
      <c r="NZ4" s="10">
        <v>13082</v>
      </c>
      <c r="OA4" s="10">
        <v>12841</v>
      </c>
      <c r="OB4" s="10">
        <v>12570</v>
      </c>
      <c r="OC4" s="10">
        <v>12421</v>
      </c>
      <c r="OD4" s="10">
        <v>12395</v>
      </c>
      <c r="OE4" s="10">
        <v>12539</v>
      </c>
      <c r="OF4" s="10">
        <v>12522</v>
      </c>
      <c r="OG4" s="10">
        <v>12636</v>
      </c>
      <c r="OH4" s="10">
        <v>12504</v>
      </c>
      <c r="OI4" s="10">
        <v>12489</v>
      </c>
      <c r="OJ4" s="10">
        <v>12555</v>
      </c>
      <c r="OK4" s="10">
        <v>12783</v>
      </c>
      <c r="OL4" s="10">
        <v>12688</v>
      </c>
      <c r="OM4" s="10">
        <v>12376</v>
      </c>
      <c r="ON4" s="10">
        <v>12457</v>
      </c>
      <c r="OO4" s="10">
        <v>12339</v>
      </c>
      <c r="OP4" s="10">
        <v>12359.95</v>
      </c>
      <c r="OQ4" s="10">
        <v>12730.1</v>
      </c>
      <c r="OR4" s="10">
        <v>12557.83</v>
      </c>
      <c r="OS4" s="10">
        <v>12573.98</v>
      </c>
      <c r="OT4" s="10">
        <v>12375.5</v>
      </c>
      <c r="OU4" s="10">
        <v>12687.61</v>
      </c>
      <c r="OV4" s="10">
        <v>12656.27</v>
      </c>
      <c r="OW4" s="10">
        <v>12583.05</v>
      </c>
      <c r="OX4" s="10">
        <v>13345.24</v>
      </c>
      <c r="OY4" s="10">
        <v>13294.37</v>
      </c>
      <c r="OZ4" s="10">
        <v>13426.84</v>
      </c>
      <c r="PA4" s="10">
        <v>13501.17</v>
      </c>
      <c r="PB4" s="10">
        <v>13632.28</v>
      </c>
      <c r="PC4" s="10">
        <v>13769.53</v>
      </c>
      <c r="PD4" s="10">
        <v>13703.91</v>
      </c>
      <c r="PE4" s="10">
        <v>13883.35</v>
      </c>
      <c r="PF4" s="10">
        <v>14023.2</v>
      </c>
      <c r="PG4" s="10">
        <v>14374.04</v>
      </c>
      <c r="PH4" s="10">
        <v>14069.68</v>
      </c>
      <c r="PI4" s="10">
        <v>13863.58</v>
      </c>
      <c r="PJ4" s="10">
        <v>14092.66</v>
      </c>
      <c r="PK4" s="10">
        <v>14249.58</v>
      </c>
      <c r="PL4" s="10">
        <v>14351.28</v>
      </c>
      <c r="PM4" s="10">
        <v>14275.78</v>
      </c>
      <c r="PN4" s="10">
        <v>13899.58</v>
      </c>
      <c r="PO4" s="10">
        <v>13974.6</v>
      </c>
      <c r="PP4" s="10">
        <v>13905.56</v>
      </c>
      <c r="PQ4" s="10">
        <v>14197.7</v>
      </c>
      <c r="PR4" s="10">
        <v>14248.81</v>
      </c>
      <c r="PS4" s="10">
        <v>14426.74</v>
      </c>
      <c r="PT4" s="10">
        <v>15291.48</v>
      </c>
      <c r="PU4" s="10">
        <v>15441.56</v>
      </c>
      <c r="PV4" s="10">
        <v>15701.47</v>
      </c>
      <c r="PW4" s="10">
        <v>16112.24</v>
      </c>
      <c r="PX4" s="10">
        <v>15177.86</v>
      </c>
      <c r="PY4" s="10">
        <v>15009.7</v>
      </c>
      <c r="PZ4" s="10">
        <v>14940.64</v>
      </c>
      <c r="QA4" s="10">
        <v>14774.89</v>
      </c>
      <c r="QB4" s="10">
        <v>15164.64</v>
      </c>
      <c r="QC4" s="10">
        <v>15225.83</v>
      </c>
      <c r="QD4" s="10">
        <v>15105.13</v>
      </c>
      <c r="QE4" s="10">
        <v>15367.79</v>
      </c>
      <c r="QF4" s="10">
        <v>15428.43</v>
      </c>
      <c r="QG4" s="10">
        <v>15066.36</v>
      </c>
      <c r="QH4" s="10">
        <v>15040.81</v>
      </c>
      <c r="QI4" s="10">
        <v>15221.68</v>
      </c>
      <c r="QJ4" s="10">
        <v>15204.32</v>
      </c>
      <c r="QK4" s="10">
        <v>15372.69</v>
      </c>
      <c r="QL4" s="10">
        <v>15170.37</v>
      </c>
      <c r="QM4" s="10">
        <v>15572.72</v>
      </c>
      <c r="QN4" s="10">
        <v>15457.05</v>
      </c>
      <c r="QO4" s="10">
        <v>15371.23</v>
      </c>
      <c r="QP4" s="10">
        <v>15360.45</v>
      </c>
      <c r="QQ4" s="10">
        <v>15305.23</v>
      </c>
      <c r="QR4" s="10">
        <v>15679.69</v>
      </c>
      <c r="QS4" s="10">
        <v>16324.47</v>
      </c>
      <c r="QT4" s="10">
        <v>16711.61</v>
      </c>
      <c r="QU4" s="10">
        <v>17198.490000000002</v>
      </c>
      <c r="QV4" s="10">
        <v>17150.439999999999</v>
      </c>
      <c r="QW4" s="10">
        <v>17386.07</v>
      </c>
      <c r="QX4" s="10">
        <v>17369.060000000001</v>
      </c>
      <c r="QY4" s="10">
        <v>17032.169999999998</v>
      </c>
      <c r="QZ4" s="10">
        <v>16861</v>
      </c>
      <c r="RA4" s="10">
        <v>16387.62</v>
      </c>
      <c r="RB4" s="10">
        <v>16257.71</v>
      </c>
      <c r="RC4" s="10">
        <v>16177.82</v>
      </c>
      <c r="RD4" s="10">
        <v>16620.150000000001</v>
      </c>
      <c r="RE4" s="10">
        <v>16534.04</v>
      </c>
      <c r="RF4" s="10">
        <v>16982.79</v>
      </c>
      <c r="RG4" s="10">
        <v>16892.72</v>
      </c>
      <c r="RH4" s="10">
        <v>16948.95</v>
      </c>
      <c r="RI4" s="10">
        <v>17244.330000000002</v>
      </c>
      <c r="RJ4" s="10">
        <v>17192.79</v>
      </c>
      <c r="RK4" s="10">
        <v>17740.849999999999</v>
      </c>
      <c r="RL4" s="10">
        <v>17687.64</v>
      </c>
      <c r="RM4" s="10">
        <v>17769.509999999998</v>
      </c>
      <c r="RN4" s="10">
        <v>17667.77</v>
      </c>
      <c r="RO4" s="10">
        <v>17544.150000000001</v>
      </c>
      <c r="RP4" s="10">
        <v>17645.75</v>
      </c>
      <c r="RQ4" s="10">
        <v>17666.259999999998</v>
      </c>
      <c r="RR4" s="10">
        <v>17912.8</v>
      </c>
      <c r="RS4" s="10">
        <v>18586.46</v>
      </c>
      <c r="RT4" s="10">
        <v>18345.23</v>
      </c>
      <c r="RU4" s="10">
        <v>18155.79</v>
      </c>
      <c r="RV4" s="10">
        <v>17874.78</v>
      </c>
      <c r="RW4" s="10">
        <v>17739.04</v>
      </c>
      <c r="RX4" s="10">
        <v>17290.98</v>
      </c>
      <c r="RY4" s="10">
        <v>17077.509999999998</v>
      </c>
      <c r="RZ4" s="10">
        <v>17297.27</v>
      </c>
      <c r="SA4" s="10">
        <v>16916.939999999999</v>
      </c>
      <c r="SB4" s="10">
        <v>16447.849999999999</v>
      </c>
      <c r="SC4" s="10">
        <v>15911.43</v>
      </c>
      <c r="SD4" s="10">
        <v>15911.29</v>
      </c>
      <c r="SE4" s="10">
        <v>15992.99</v>
      </c>
      <c r="SF4" s="10">
        <v>15947.09</v>
      </c>
      <c r="SG4" s="10">
        <v>16195.61</v>
      </c>
      <c r="SH4" s="10">
        <v>16324.61</v>
      </c>
      <c r="SI4" s="10">
        <v>16619.21</v>
      </c>
      <c r="SJ4" s="10">
        <v>17109.3</v>
      </c>
      <c r="SK4" s="10">
        <v>17457.509999999998</v>
      </c>
      <c r="SL4" s="10">
        <v>17453.099999999999</v>
      </c>
      <c r="SM4" s="10">
        <v>17643.599999999999</v>
      </c>
      <c r="SN4" s="10">
        <v>17576.259999999998</v>
      </c>
      <c r="SO4" s="10">
        <v>17530.009999999998</v>
      </c>
      <c r="SP4" s="10">
        <v>17993.95</v>
      </c>
      <c r="SQ4" s="10">
        <v>18188.34</v>
      </c>
      <c r="SR4" s="10">
        <v>18476.18</v>
      </c>
      <c r="SS4" s="10">
        <v>18664.400000000001</v>
      </c>
      <c r="ST4" s="10">
        <v>18272.7</v>
      </c>
      <c r="SU4" s="10">
        <v>18626.099999999999</v>
      </c>
      <c r="SV4" s="10">
        <v>18806.11</v>
      </c>
      <c r="SW4" s="10">
        <v>18718.22</v>
      </c>
      <c r="SX4" s="10">
        <v>18211.59</v>
      </c>
      <c r="SY4" s="10">
        <v>17928.36</v>
      </c>
      <c r="SZ4" s="10">
        <v>18341.759999999998</v>
      </c>
      <c r="TA4" s="10">
        <v>18062.46</v>
      </c>
      <c r="TB4" s="10">
        <v>17791.62</v>
      </c>
      <c r="TC4" s="10">
        <v>18070.96</v>
      </c>
      <c r="TD4" s="10">
        <v>17851.523000000001</v>
      </c>
      <c r="TE4" s="10">
        <v>17271.619500000004</v>
      </c>
      <c r="TF4" s="10">
        <v>17620.593400000002</v>
      </c>
      <c r="TG4" s="10">
        <v>17952.159199999998</v>
      </c>
      <c r="TH4" s="10">
        <v>18259.794399999999</v>
      </c>
      <c r="TI4" s="10">
        <v>18350.175300000003</v>
      </c>
      <c r="TJ4" s="10">
        <v>18534.209000000003</v>
      </c>
      <c r="TK4" s="10">
        <v>18657.955600000005</v>
      </c>
      <c r="TL4" s="10">
        <v>18533.292600000001</v>
      </c>
      <c r="TM4" s="10">
        <v>18673.196199999998</v>
      </c>
      <c r="TN4" s="10">
        <v>18525.821599999999</v>
      </c>
      <c r="TO4" s="10">
        <v>18498.341099999998</v>
      </c>
      <c r="TP4" s="10">
        <v>18765.667400000002</v>
      </c>
      <c r="TQ4" s="10">
        <v>18853.097000000005</v>
      </c>
      <c r="TR4" s="10">
        <v>19022.881900000004</v>
      </c>
      <c r="TS4" s="10">
        <v>19214.633800000003</v>
      </c>
      <c r="TT4" s="10">
        <v>19364.540399999994</v>
      </c>
      <c r="TU4" s="10">
        <v>19366.871800000001</v>
      </c>
      <c r="TV4" s="10">
        <v>19047.1469</v>
      </c>
      <c r="TW4" s="10">
        <v>19342.205700000002</v>
      </c>
      <c r="TX4" s="10">
        <v>19456.211200000005</v>
      </c>
      <c r="TY4" s="10">
        <v>19286.8102</v>
      </c>
      <c r="TZ4" s="10">
        <v>19134.834399999996</v>
      </c>
      <c r="UA4" s="10">
        <v>19273.908300000003</v>
      </c>
      <c r="UB4" s="10">
        <v>19623.7608</v>
      </c>
      <c r="UC4" s="10">
        <v>20007.558100000002</v>
      </c>
      <c r="UD4" s="10">
        <v>20093.164900000003</v>
      </c>
      <c r="UE4" s="10">
        <v>19891.375500000006</v>
      </c>
      <c r="UF4" s="10">
        <v>20094.024400000006</v>
      </c>
      <c r="UG4" s="10">
        <v>20056.593499999999</v>
      </c>
      <c r="UH4" s="10">
        <v>20346.328500000007</v>
      </c>
      <c r="UI4" s="10">
        <v>20583.405599999998</v>
      </c>
      <c r="UJ4" s="10">
        <v>19868.872199999998</v>
      </c>
      <c r="UK4" s="10">
        <v>20063.8033</v>
      </c>
      <c r="UL4" s="10">
        <v>20118.201900000004</v>
      </c>
      <c r="UM4" s="10">
        <v>22683.996399999996</v>
      </c>
      <c r="UN4" s="10">
        <v>19938.719700000005</v>
      </c>
      <c r="UO4" s="10">
        <v>19816.2379</v>
      </c>
      <c r="UP4" s="10">
        <v>20072.351000000006</v>
      </c>
      <c r="UQ4" s="10">
        <v>20063.535400000001</v>
      </c>
      <c r="UR4" s="10">
        <v>19768.527500000004</v>
      </c>
      <c r="US4" s="10">
        <v>19906</v>
      </c>
      <c r="UT4" s="10">
        <v>19953</v>
      </c>
      <c r="UU4" s="10">
        <v>20131.639400000004</v>
      </c>
      <c r="UV4" s="10">
        <v>20022.752799999998</v>
      </c>
      <c r="UW4" s="10">
        <v>20307.580100000003</v>
      </c>
      <c r="UX4" s="10">
        <v>19776.806999999997</v>
      </c>
      <c r="UY4" s="10">
        <v>19894.0772</v>
      </c>
      <c r="UZ4" s="10">
        <v>19920.552300000003</v>
      </c>
      <c r="VA4" s="10">
        <v>19793.452999999998</v>
      </c>
      <c r="VB4" s="10">
        <v>19752.475900000001</v>
      </c>
      <c r="VC4" s="10">
        <v>19431.129099999995</v>
      </c>
      <c r="VD4" s="10">
        <v>19440.811099999995</v>
      </c>
      <c r="VE4" s="10">
        <v>18587</v>
      </c>
      <c r="VF4" s="10">
        <v>18597</v>
      </c>
      <c r="VG4" s="10">
        <v>18272.235099999994</v>
      </c>
      <c r="VH4" s="10">
        <v>18417.446199999995</v>
      </c>
      <c r="VI4" s="10">
        <v>18634.083299999998</v>
      </c>
      <c r="VJ4" s="10">
        <v>18173.824499999999</v>
      </c>
      <c r="VK4" s="10">
        <v>17984.217700000001</v>
      </c>
      <c r="VL4" s="10">
        <v>17322.057100000005</v>
      </c>
      <c r="VM4" s="10">
        <v>17555.876799999998</v>
      </c>
      <c r="VN4" s="10">
        <v>17389.9375</v>
      </c>
      <c r="VO4" s="10">
        <v>16907.666699999998</v>
      </c>
      <c r="VP4" s="10">
        <v>17167.5962</v>
      </c>
      <c r="VQ4" s="10">
        <v>16929.964199999999</v>
      </c>
      <c r="VR4" s="10">
        <v>17137.788100000002</v>
      </c>
      <c r="VS4" s="10">
        <v>17095.4791</v>
      </c>
      <c r="VT4" s="10">
        <v>16934.033299999999</v>
      </c>
      <c r="VU4" s="10">
        <v>16737.478999999996</v>
      </c>
      <c r="VV4" s="10">
        <v>16675.920600000001</v>
      </c>
      <c r="VW4" s="10">
        <v>16550.758199999997</v>
      </c>
      <c r="VX4" s="10">
        <v>16555.751199999999</v>
      </c>
      <c r="VY4" s="10">
        <v>16782.232700000004</v>
      </c>
      <c r="VZ4" s="10">
        <v>17042.591799999995</v>
      </c>
      <c r="WA4" s="10">
        <v>17042.591799999995</v>
      </c>
      <c r="WB4" s="10">
        <v>17469.797200000001</v>
      </c>
      <c r="WC4" s="10">
        <v>17459.305099999998</v>
      </c>
      <c r="WD4" s="10">
        <v>17453.655200000001</v>
      </c>
      <c r="WE4" s="10">
        <v>17080.025300000001</v>
      </c>
      <c r="WF4" s="10">
        <v>17192.9359</v>
      </c>
      <c r="WG4" s="10">
        <v>17056.983499999998</v>
      </c>
      <c r="WH4" s="10">
        <v>17450.938399999999</v>
      </c>
      <c r="WI4" s="10">
        <v>17944.540699999998</v>
      </c>
      <c r="WJ4" s="10">
        <v>17998.30650000001</v>
      </c>
      <c r="WK4" s="10">
        <v>17826.6819</v>
      </c>
      <c r="WL4" s="10">
        <v>17283.017899999999</v>
      </c>
      <c r="WM4" s="10">
        <v>17255.158700000004</v>
      </c>
      <c r="WN4" s="10">
        <v>16849.642199999998</v>
      </c>
      <c r="WO4" s="10">
        <v>16941.685400000002</v>
      </c>
      <c r="WP4" s="10">
        <v>16497.113099999999</v>
      </c>
      <c r="WQ4" s="10">
        <v>16425.5877</v>
      </c>
      <c r="WR4" s="10">
        <v>16660.641000000003</v>
      </c>
      <c r="WS4" s="10">
        <v>16603.7163</v>
      </c>
      <c r="WT4" s="10">
        <v>16915.2755</v>
      </c>
      <c r="WU4" s="10">
        <v>16844.626900000003</v>
      </c>
      <c r="WV4" s="10">
        <v>16767.397200000003</v>
      </c>
      <c r="WW4" s="10">
        <v>16856.621900000006</v>
      </c>
      <c r="WX4" s="10">
        <v>16512.965</v>
      </c>
      <c r="WY4" s="10">
        <v>15690.5911</v>
      </c>
      <c r="WZ4" s="10">
        <v>15960.494700000003</v>
      </c>
      <c r="XA4" s="10">
        <v>16469.441200000005</v>
      </c>
      <c r="XB4" s="10">
        <v>16808.358199999999</v>
      </c>
      <c r="XC4" s="10">
        <v>15515.129700000001</v>
      </c>
      <c r="XD4" s="10">
        <v>15506.822700000002</v>
      </c>
      <c r="XE4" s="10">
        <v>15439.306399999999</v>
      </c>
      <c r="XF4" s="10">
        <v>15282.947999999997</v>
      </c>
      <c r="XG4" s="10">
        <v>15661.5538</v>
      </c>
      <c r="XH4" s="10">
        <v>15197.556600000004</v>
      </c>
      <c r="XI4" s="10">
        <v>15197.2862</v>
      </c>
      <c r="XJ4" s="10">
        <v>14931.281200000003</v>
      </c>
      <c r="XK4" s="10">
        <v>14761.293300000001</v>
      </c>
      <c r="XL4" s="10">
        <v>14892.775100000001</v>
      </c>
      <c r="XM4" s="10">
        <v>15099.326099999995</v>
      </c>
      <c r="XN4" s="10">
        <v>15217.923600000002</v>
      </c>
      <c r="XO4" s="10">
        <v>14770.896400000005</v>
      </c>
      <c r="XP4" s="10">
        <v>14371.07</v>
      </c>
      <c r="XQ4" s="10">
        <v>14740.158100000004</v>
      </c>
      <c r="XR4" s="10">
        <v>14574.009900000003</v>
      </c>
      <c r="XS4" s="10">
        <v>14693.731300000003</v>
      </c>
      <c r="XT4" s="10">
        <v>14894.796699999999</v>
      </c>
      <c r="XU4" s="10">
        <v>15660.161599999996</v>
      </c>
      <c r="XV4" s="10">
        <v>15218.024400000002</v>
      </c>
      <c r="XW4" s="10">
        <v>15414.515399999997</v>
      </c>
      <c r="XX4" s="10">
        <v>15330.6836</v>
      </c>
      <c r="XY4" s="10">
        <v>15048.139600000002</v>
      </c>
      <c r="XZ4" s="10">
        <v>15230.121599999999</v>
      </c>
      <c r="YA4" s="10">
        <v>15100.8863</v>
      </c>
      <c r="YB4" s="10">
        <v>14902.655599999998</v>
      </c>
      <c r="YC4" s="10">
        <v>15202.460500000001</v>
      </c>
      <c r="YD4" s="10">
        <v>15033.326200000001</v>
      </c>
      <c r="YE4" s="10">
        <v>15362.322200000001</v>
      </c>
      <c r="YF4" s="10">
        <v>15352.7389</v>
      </c>
      <c r="YG4" s="10">
        <v>15603.951200000001</v>
      </c>
      <c r="YH4" s="10">
        <v>15641.294000000002</v>
      </c>
      <c r="YI4" s="10">
        <v>15224.412200000001</v>
      </c>
      <c r="YJ4" s="10">
        <v>15629.506899999998</v>
      </c>
      <c r="YK4" s="10">
        <v>15596.161800000002</v>
      </c>
      <c r="YL4" s="10">
        <v>15596.3349</v>
      </c>
      <c r="YM4" s="10">
        <v>15670.4755</v>
      </c>
      <c r="YN4" s="10">
        <v>15258.7227</v>
      </c>
      <c r="YO4" s="10">
        <v>15592.575500000001</v>
      </c>
      <c r="YP4" s="10">
        <v>15496.883100000001</v>
      </c>
      <c r="YQ4" s="10">
        <v>15780.193300000001</v>
      </c>
      <c r="YR4" s="102">
        <v>15780.193300000001</v>
      </c>
      <c r="YS4" s="10">
        <v>15399.922000000002</v>
      </c>
      <c r="YT4" s="10">
        <v>16034.396099999993</v>
      </c>
      <c r="YU4" s="10">
        <v>16349.545</v>
      </c>
      <c r="YV4" s="10">
        <v>16375.586699999998</v>
      </c>
      <c r="YW4" s="10">
        <v>16812.486399999991</v>
      </c>
      <c r="YX4" s="10">
        <v>16969.212600000003</v>
      </c>
      <c r="YY4" s="10">
        <v>16673.104599999999</v>
      </c>
      <c r="YZ4" s="10">
        <v>16569.891499999994</v>
      </c>
      <c r="ZA4" s="10">
        <v>15766.1446</v>
      </c>
      <c r="ZB4" s="10">
        <v>15845.441099999996</v>
      </c>
      <c r="ZC4" s="10">
        <v>15716.6168</v>
      </c>
      <c r="ZD4" s="10">
        <v>15773.380999999998</v>
      </c>
      <c r="ZE4" s="10">
        <v>15228.053499999998</v>
      </c>
      <c r="ZF4" s="10">
        <v>15306.1191</v>
      </c>
      <c r="ZG4" s="10">
        <v>15446.743999999999</v>
      </c>
      <c r="ZH4" s="10">
        <v>15822.773500000003</v>
      </c>
      <c r="ZI4" s="10">
        <v>15957.226100000007</v>
      </c>
      <c r="ZJ4" s="10">
        <v>16010.008099999999</v>
      </c>
      <c r="ZK4" s="10">
        <v>16257.083799999999</v>
      </c>
      <c r="ZL4" s="10">
        <v>16063.326199999998</v>
      </c>
      <c r="ZM4" s="10">
        <v>16503.948099999998</v>
      </c>
      <c r="ZN4" s="10">
        <v>16647.873299999992</v>
      </c>
      <c r="ZO4" s="10">
        <v>16635.176999999996</v>
      </c>
      <c r="ZP4" s="10">
        <v>17113.488199999996</v>
      </c>
      <c r="ZQ4" s="10">
        <v>17361.425899999995</v>
      </c>
      <c r="ZR4" s="10">
        <v>17336.1656</v>
      </c>
      <c r="ZS4" s="10">
        <v>16887.870499999994</v>
      </c>
      <c r="ZT4" s="10">
        <v>17342.474099999992</v>
      </c>
      <c r="ZU4" s="10">
        <v>17544.007699999995</v>
      </c>
      <c r="ZV4" s="10">
        <v>17512.164700000001</v>
      </c>
      <c r="ZW4" s="10">
        <v>17393.1263</v>
      </c>
      <c r="ZX4" s="10">
        <v>17171.649399999998</v>
      </c>
      <c r="ZY4" s="10">
        <v>16755.242100000003</v>
      </c>
      <c r="ZZ4" s="10">
        <v>16712.783599999999</v>
      </c>
      <c r="AAA4" s="10">
        <v>16490.767100000001</v>
      </c>
      <c r="AAB4" s="10">
        <v>16821.2857</v>
      </c>
      <c r="AAC4" s="10">
        <v>17138.899800000003</v>
      </c>
      <c r="AAD4" s="10">
        <v>17533.660399999997</v>
      </c>
      <c r="AAE4" s="10">
        <v>17640.428500000005</v>
      </c>
      <c r="AAF4" s="10">
        <v>17715.708299999998</v>
      </c>
      <c r="AAG4" s="10">
        <v>17928.057100000002</v>
      </c>
      <c r="AAH4" s="10">
        <v>17776.888800000001</v>
      </c>
      <c r="AAI4" s="10">
        <v>17483.025000000005</v>
      </c>
      <c r="AAJ4" s="10">
        <v>17283.977200000001</v>
      </c>
      <c r="AAK4" s="10">
        <v>17231.450500000006</v>
      </c>
      <c r="AAL4" s="10">
        <v>17310.479999999956</v>
      </c>
      <c r="AAM4" s="10">
        <v>17258.159999999902</v>
      </c>
      <c r="AAN4" s="10">
        <v>17412.056899999865</v>
      </c>
      <c r="AAO4" s="10">
        <v>17579.380599999844</v>
      </c>
      <c r="AAP4" s="10">
        <v>17543.073999999855</v>
      </c>
      <c r="AAQ4" s="10">
        <v>18169.744999999864</v>
      </c>
      <c r="AAR4" s="10">
        <v>18310.693399999858</v>
      </c>
      <c r="AAS4" s="10">
        <v>18372.881299999881</v>
      </c>
      <c r="AAT4" s="10">
        <v>17916.877499999882</v>
      </c>
      <c r="AAU4" s="10">
        <v>18330.772399999882</v>
      </c>
      <c r="AAV4" s="10">
        <v>18733.669299999892</v>
      </c>
      <c r="AAW4" s="10">
        <v>18862.204299999896</v>
      </c>
      <c r="AAX4" s="10">
        <v>18937.675199999903</v>
      </c>
      <c r="AAY4" s="10">
        <v>18071.055099999925</v>
      </c>
      <c r="AAZ4" s="10">
        <v>18222.676999999945</v>
      </c>
      <c r="ABA4" s="10">
        <v>18518.333399999941</v>
      </c>
      <c r="ABB4" s="10">
        <v>18700.712999999952</v>
      </c>
      <c r="ABC4" s="10">
        <v>18284.739299999957</v>
      </c>
      <c r="ABD4" s="10">
        <v>17457.646699999968</v>
      </c>
      <c r="ABE4" s="10">
        <v>17816.502999999972</v>
      </c>
      <c r="ABF4" s="10">
        <v>18079.665199999985</v>
      </c>
      <c r="ABG4" s="10">
        <v>17959.586499999987</v>
      </c>
      <c r="ABH4" s="10">
        <v>17932.217099999998</v>
      </c>
      <c r="ABI4" s="10">
        <v>17944.678599999996</v>
      </c>
      <c r="ABJ4" s="10">
        <v>17944.678599999988</v>
      </c>
      <c r="ABK4" s="10">
        <v>18073.985099999998</v>
      </c>
      <c r="ABL4" s="10">
        <v>18552.514599999995</v>
      </c>
      <c r="ABM4" s="10">
        <v>18571.395699999994</v>
      </c>
      <c r="ABN4" s="10">
        <v>18662.500799999998</v>
      </c>
      <c r="ABO4" s="10">
        <v>18418.846700000002</v>
      </c>
      <c r="ABP4" s="10">
        <v>18994.287</v>
      </c>
      <c r="ABQ4" s="10">
        <v>19268.2058</v>
      </c>
      <c r="ABR4" s="10">
        <v>19264.367200000001</v>
      </c>
      <c r="ABS4" s="10">
        <v>19108.290099999995</v>
      </c>
      <c r="ABT4" s="10">
        <v>18756.23859999999</v>
      </c>
      <c r="ABU4" s="10">
        <v>19154.480799999987</v>
      </c>
      <c r="ABV4" s="10">
        <v>18809.100699999995</v>
      </c>
      <c r="ABW4" s="10">
        <v>18959.775999999987</v>
      </c>
      <c r="ABX4" s="10">
        <v>19084.050799999994</v>
      </c>
      <c r="ABY4" s="10">
        <v>18579.481600000003</v>
      </c>
      <c r="ABZ4" s="10">
        <v>18727.177300000003</v>
      </c>
      <c r="ACA4" s="10">
        <v>18473.310800000003</v>
      </c>
      <c r="ACB4" s="10">
        <v>18371.573199999995</v>
      </c>
      <c r="ACC4" s="10">
        <v>17524.754700000001</v>
      </c>
      <c r="ACD4" s="10">
        <v>17315.385399999988</v>
      </c>
      <c r="ACE4" s="10">
        <v>17671.122399999986</v>
      </c>
      <c r="ACF4" s="10">
        <v>17244.604899999984</v>
      </c>
      <c r="ACG4" s="10">
        <v>16716.785999999986</v>
      </c>
      <c r="ACH4" s="314">
        <v>16860.318799999983</v>
      </c>
      <c r="ACI4" s="314">
        <v>16705.573799999984</v>
      </c>
      <c r="ACJ4" s="314">
        <v>16638.291699999991</v>
      </c>
      <c r="ACK4" s="314">
        <v>16612.503499999984</v>
      </c>
      <c r="ACL4" s="314">
        <v>16279.925499999994</v>
      </c>
      <c r="ACM4" s="314">
        <v>16083.991199999997</v>
      </c>
      <c r="ACN4" s="314">
        <v>15904.279499999981</v>
      </c>
      <c r="ACO4" s="314">
        <v>15908.802899999986</v>
      </c>
      <c r="ACP4" s="314">
        <v>15919.962799999979</v>
      </c>
      <c r="ACQ4" s="314">
        <v>16049.543400000002</v>
      </c>
      <c r="ACR4" s="314">
        <v>16515.0141</v>
      </c>
      <c r="ACS4" s="314">
        <v>16599.591099999998</v>
      </c>
      <c r="ACT4" s="314">
        <v>16705.490899999993</v>
      </c>
      <c r="ACU4" s="314">
        <v>16710.782999999999</v>
      </c>
      <c r="ACV4" s="314">
        <v>16274.185600000006</v>
      </c>
      <c r="ACW4" s="314">
        <v>16015.296300000005</v>
      </c>
      <c r="ACX4" s="314">
        <v>16176.6818</v>
      </c>
      <c r="ACY4" s="314">
        <v>16214.721900000004</v>
      </c>
      <c r="ACZ4" s="314">
        <v>15479.774300000005</v>
      </c>
      <c r="ADA4" s="314">
        <v>15550.003900000003</v>
      </c>
      <c r="ADB4" s="314">
        <v>15817.739500000003</v>
      </c>
      <c r="ADC4" s="314">
        <v>15353.139800000006</v>
      </c>
      <c r="ADD4" s="314">
        <v>14930.389300000003</v>
      </c>
      <c r="ADE4" s="314">
        <v>14447.490850000004</v>
      </c>
      <c r="ADF4" s="314">
        <v>14912.773850000007</v>
      </c>
      <c r="ADG4" s="314">
        <v>15927.367450000011</v>
      </c>
      <c r="ADH4" s="314">
        <v>17714.587950000008</v>
      </c>
      <c r="ADI4" s="314">
        <v>17489.783350000002</v>
      </c>
      <c r="ADJ4" s="314">
        <v>18075.940549999999</v>
      </c>
      <c r="ADK4" s="314">
        <v>18032.030549999989</v>
      </c>
      <c r="ADL4" s="314">
        <v>17424.343349999988</v>
      </c>
      <c r="ADM4" s="314">
        <v>16697.927449999985</v>
      </c>
      <c r="ADN4" s="324">
        <v>16241.971649999989</v>
      </c>
      <c r="ADO4" s="314">
        <v>17201.614549999984</v>
      </c>
      <c r="ADP4" s="314">
        <v>16106.787549999994</v>
      </c>
      <c r="ADQ4" s="314">
        <v>15872.608549999992</v>
      </c>
      <c r="ADR4" s="314">
        <v>16047.048099999998</v>
      </c>
      <c r="ADS4" s="314">
        <v>15798.015599999992</v>
      </c>
      <c r="ADT4" s="328">
        <v>15734.979899999989</v>
      </c>
      <c r="ADU4" s="314">
        <v>15435.077400000002</v>
      </c>
      <c r="ADV4" s="314">
        <v>15334.059599999999</v>
      </c>
      <c r="ADW4" s="314">
        <v>15426.221299999999</v>
      </c>
      <c r="ADX4" s="324">
        <v>15302.587249999991</v>
      </c>
      <c r="ADY4" s="314">
        <v>15375.083499999993</v>
      </c>
      <c r="ADZ4" s="314">
        <v>15572.845900000002</v>
      </c>
      <c r="AEA4" s="314">
        <v>15226.638899999996</v>
      </c>
      <c r="AEB4" s="314">
        <v>15487.296049999988</v>
      </c>
      <c r="AEC4" s="314">
        <v>14998.620749999991</v>
      </c>
      <c r="AED4" s="314">
        <v>14810.987250000004</v>
      </c>
      <c r="AEE4" s="314">
        <v>14177.244050000005</v>
      </c>
      <c r="AEF4" s="314">
        <v>14245.983150000009</v>
      </c>
      <c r="AEG4" s="314">
        <v>14412.517000000005</v>
      </c>
      <c r="AEH4" s="314">
        <v>14255.263400000005</v>
      </c>
      <c r="AEI4" s="314">
        <v>14382.347900000002</v>
      </c>
      <c r="AEJ4" s="314">
        <v>14252.435500000001</v>
      </c>
      <c r="AEK4" s="314">
        <v>14555.194199999998</v>
      </c>
      <c r="AEL4" s="324">
        <v>14660.986100000007</v>
      </c>
      <c r="AEM4" s="314">
        <v>13603.230600000001</v>
      </c>
      <c r="AEN4" s="314">
        <v>13725.270500000002</v>
      </c>
      <c r="AEO4" s="314">
        <v>13639.087500000001</v>
      </c>
      <c r="AEP4" s="314">
        <v>13679.052100000006</v>
      </c>
      <c r="AEQ4" s="314">
        <v>13708</v>
      </c>
      <c r="AER4" s="314">
        <v>13477.094200000007</v>
      </c>
      <c r="AES4" s="314">
        <v>13524.797700000003</v>
      </c>
      <c r="AET4" s="314">
        <v>13593.508300000005</v>
      </c>
      <c r="AEU4" s="314">
        <v>13660.574900000003</v>
      </c>
      <c r="AEV4" s="314">
        <v>14071</v>
      </c>
      <c r="AEW4" s="314">
        <v>14293.175799999997</v>
      </c>
      <c r="AEX4" s="314">
        <v>14363.189200000001</v>
      </c>
      <c r="AEY4" s="314">
        <v>14619.317899999998</v>
      </c>
      <c r="AEZ4" s="314">
        <v>14766</v>
      </c>
      <c r="AFA4" s="314">
        <v>15055.165800000002</v>
      </c>
      <c r="AFB4" s="314">
        <v>15081.017100000001</v>
      </c>
      <c r="AFC4" s="314">
        <v>15111.514800000003</v>
      </c>
      <c r="AFD4" s="314">
        <v>14457.796599999998</v>
      </c>
      <c r="AFE4" s="314">
        <v>14570.085600000002</v>
      </c>
      <c r="AFF4" s="314">
        <v>14751.837500000001</v>
      </c>
      <c r="AFG4" s="314">
        <v>14935.051700000002</v>
      </c>
      <c r="AFH4" s="314">
        <v>15181.826400000005</v>
      </c>
      <c r="AFI4" s="314">
        <v>16043</v>
      </c>
      <c r="AFJ4" s="314">
        <v>16308</v>
      </c>
      <c r="AFK4" s="314">
        <v>16543</v>
      </c>
      <c r="AFL4" s="314">
        <v>16791</v>
      </c>
      <c r="AFM4" s="314">
        <v>15925</v>
      </c>
      <c r="AFN4" s="314">
        <v>15542</v>
      </c>
      <c r="AFO4" s="314">
        <v>15309</v>
      </c>
      <c r="AFP4" s="314">
        <v>14800</v>
      </c>
      <c r="AFQ4" s="314">
        <v>14746</v>
      </c>
      <c r="AFR4" s="314">
        <v>14252</v>
      </c>
      <c r="AFS4" s="314">
        <v>14195</v>
      </c>
      <c r="AFT4" s="314">
        <v>14296</v>
      </c>
      <c r="AFU4" s="314">
        <v>14235</v>
      </c>
      <c r="AFV4" s="314">
        <v>14425</v>
      </c>
      <c r="AFW4" s="314">
        <v>14084</v>
      </c>
      <c r="AFX4" s="314">
        <v>14160</v>
      </c>
      <c r="AFY4" s="314">
        <v>13959</v>
      </c>
      <c r="AFZ4" s="314">
        <v>13790</v>
      </c>
      <c r="AGA4" s="314">
        <v>13987</v>
      </c>
      <c r="AGB4" s="314">
        <v>13694</v>
      </c>
      <c r="AGC4" s="314">
        <v>13723</v>
      </c>
      <c r="AGD4" s="314">
        <v>13755</v>
      </c>
      <c r="AGE4" s="314">
        <v>13778</v>
      </c>
      <c r="AGF4" s="314">
        <v>13796</v>
      </c>
      <c r="AGG4" s="314">
        <v>13016</v>
      </c>
      <c r="AGH4" s="314">
        <v>12341</v>
      </c>
      <c r="AGI4" s="314">
        <v>12475</v>
      </c>
      <c r="AGJ4" s="314">
        <v>12230</v>
      </c>
      <c r="AGK4" s="314">
        <v>12306</v>
      </c>
      <c r="AGL4" s="314">
        <v>11943</v>
      </c>
      <c r="AGM4" s="314">
        <v>11765</v>
      </c>
      <c r="AGN4" s="314">
        <v>11967</v>
      </c>
      <c r="AGO4" s="314">
        <v>12450</v>
      </c>
      <c r="AGP4" s="314">
        <v>12056</v>
      </c>
      <c r="AGQ4" s="314">
        <v>12183</v>
      </c>
      <c r="AGR4" s="314">
        <v>12133</v>
      </c>
      <c r="AGS4" s="314">
        <v>12155</v>
      </c>
      <c r="AGT4" s="314">
        <v>11711</v>
      </c>
      <c r="AGU4" s="314">
        <v>11813</v>
      </c>
      <c r="AGV4" s="314">
        <v>12145</v>
      </c>
      <c r="AGW4" s="314">
        <v>12194</v>
      </c>
      <c r="AGX4" s="314">
        <v>12334</v>
      </c>
      <c r="AGY4" s="314">
        <v>11812</v>
      </c>
      <c r="AGZ4" s="314">
        <v>11558</v>
      </c>
      <c r="AHA4" s="314">
        <v>11771</v>
      </c>
      <c r="AHB4" s="314">
        <v>11808</v>
      </c>
      <c r="AHC4" s="314">
        <v>11584</v>
      </c>
      <c r="AHD4" s="314">
        <v>10987</v>
      </c>
      <c r="AHE4" s="314">
        <v>11099</v>
      </c>
      <c r="AHF4" s="314">
        <v>11012</v>
      </c>
      <c r="AHG4" s="328">
        <v>10990</v>
      </c>
      <c r="AHH4" s="314">
        <v>10898</v>
      </c>
      <c r="AHI4" s="314">
        <v>10783</v>
      </c>
      <c r="AHJ4" s="314">
        <v>10401</v>
      </c>
      <c r="AHK4" s="314">
        <v>10302</v>
      </c>
      <c r="AHL4" s="314">
        <v>10151</v>
      </c>
      <c r="AHM4" s="314">
        <v>10110</v>
      </c>
      <c r="AHN4" s="314">
        <v>10077</v>
      </c>
      <c r="AHO4" s="314">
        <v>9509</v>
      </c>
      <c r="AHP4" s="314">
        <v>9080</v>
      </c>
      <c r="AHQ4" s="314">
        <v>8706</v>
      </c>
      <c r="AHR4" s="314">
        <v>8610</v>
      </c>
      <c r="AHS4" s="332">
        <v>8942</v>
      </c>
      <c r="AHT4" s="332">
        <v>9533</v>
      </c>
      <c r="AHU4" s="332">
        <v>9718</v>
      </c>
      <c r="AHV4" s="332">
        <v>9718</v>
      </c>
      <c r="AHW4" s="332">
        <v>9911</v>
      </c>
      <c r="AHX4" s="332">
        <v>9872</v>
      </c>
      <c r="AHY4" s="332">
        <v>9496</v>
      </c>
      <c r="AHZ4" s="332">
        <v>9586</v>
      </c>
      <c r="AIA4" s="332">
        <v>9842</v>
      </c>
      <c r="AIB4" s="332">
        <v>9917</v>
      </c>
      <c r="AIC4" s="332">
        <v>10166</v>
      </c>
      <c r="AID4" s="332">
        <v>10141</v>
      </c>
      <c r="AIE4" s="332">
        <v>10175</v>
      </c>
      <c r="AIF4" s="332">
        <v>9857</v>
      </c>
      <c r="AIG4" s="332">
        <v>10161</v>
      </c>
      <c r="AIH4" s="332">
        <v>10387</v>
      </c>
      <c r="AIJ4" s="113" t="s">
        <v>64</v>
      </c>
      <c r="AIK4" s="314">
        <f>[1]Summary!$C$5</f>
        <v>6155.6408999999994</v>
      </c>
      <c r="AIL4" s="9">
        <f>IF((AIK4/AIR4)&gt;1,1,(AIK4/AIR4))</f>
        <v>0.60055033170731698</v>
      </c>
      <c r="AIM4" s="126">
        <f>IF((AIR4*0.93)-AIK4&lt;0,0,(AIR4*0.93)-AIK4)</f>
        <v>3376.8591000000006</v>
      </c>
      <c r="AIN4" s="48"/>
      <c r="AIO4" s="10">
        <f>IF((AIR4*0.95-AIK4)&lt;0,0,(AIR4*0.95-AIK4))-AIN4</f>
        <v>3581.8591000000006</v>
      </c>
      <c r="AIP4" s="113" t="s">
        <v>64</v>
      </c>
      <c r="AIQ4" s="8" t="s">
        <v>47</v>
      </c>
      <c r="AIR4" s="78">
        <f>MASTER_DATA!E7</f>
        <v>10250</v>
      </c>
      <c r="AIS4" s="78">
        <f>MASTER_DATA!F7</f>
        <v>100000</v>
      </c>
      <c r="AIT4" s="236" t="s">
        <v>116</v>
      </c>
      <c r="AIU4" t="s">
        <v>49</v>
      </c>
      <c r="AIV4" t="s">
        <v>112</v>
      </c>
      <c r="AIW4" t="s">
        <v>117</v>
      </c>
    </row>
    <row r="5" spans="1:955" x14ac:dyDescent="0.25">
      <c r="A5" s="6" t="s">
        <v>52</v>
      </c>
      <c r="B5" s="8" t="s">
        <v>47</v>
      </c>
      <c r="C5" s="7">
        <v>2000</v>
      </c>
      <c r="D5" s="7">
        <v>750</v>
      </c>
      <c r="E5" s="7">
        <v>790</v>
      </c>
      <c r="F5" s="7">
        <v>729</v>
      </c>
      <c r="G5" s="7">
        <v>720</v>
      </c>
      <c r="H5" s="7">
        <v>724</v>
      </c>
      <c r="I5" s="7">
        <v>684</v>
      </c>
      <c r="J5" s="7">
        <v>626</v>
      </c>
      <c r="K5" s="7">
        <f>J5</f>
        <v>626</v>
      </c>
      <c r="L5" s="7">
        <f>K5</f>
        <v>626</v>
      </c>
      <c r="M5" s="7">
        <v>511</v>
      </c>
      <c r="N5" s="7">
        <v>544</v>
      </c>
      <c r="O5" s="7">
        <v>719</v>
      </c>
      <c r="P5" s="7">
        <f>O5</f>
        <v>719</v>
      </c>
      <c r="Q5" s="7">
        <v>871</v>
      </c>
      <c r="R5" s="7">
        <v>901</v>
      </c>
      <c r="S5" s="7">
        <v>869</v>
      </c>
      <c r="T5" s="7">
        <v>975</v>
      </c>
      <c r="U5" s="7">
        <v>983</v>
      </c>
      <c r="V5" s="7">
        <v>972</v>
      </c>
      <c r="W5" s="7"/>
      <c r="X5" s="7"/>
      <c r="Y5" s="7">
        <v>1073</v>
      </c>
      <c r="Z5" s="7">
        <v>1079</v>
      </c>
      <c r="AA5" s="7">
        <v>1110</v>
      </c>
      <c r="AB5" s="7">
        <v>1110</v>
      </c>
      <c r="AC5" s="7">
        <v>1212</v>
      </c>
      <c r="AD5" s="7"/>
      <c r="AE5" s="7">
        <v>1238</v>
      </c>
      <c r="AF5" s="7">
        <v>1240</v>
      </c>
      <c r="AG5" s="7">
        <v>1272</v>
      </c>
      <c r="AH5" s="7">
        <v>1328</v>
      </c>
      <c r="AI5" s="7">
        <v>1328</v>
      </c>
      <c r="AJ5" s="7">
        <v>1385</v>
      </c>
      <c r="AK5" s="7">
        <v>1359</v>
      </c>
      <c r="AL5" s="7">
        <v>1406</v>
      </c>
      <c r="AM5" s="7">
        <v>1406</v>
      </c>
      <c r="AN5" s="7">
        <v>1342</v>
      </c>
      <c r="AO5" s="7">
        <v>1342</v>
      </c>
      <c r="AP5" s="7">
        <v>1328</v>
      </c>
      <c r="AQ5" s="7">
        <v>1180</v>
      </c>
      <c r="AR5" s="7">
        <v>1180</v>
      </c>
      <c r="AS5" s="7">
        <v>972</v>
      </c>
      <c r="AT5" s="7">
        <v>1090</v>
      </c>
      <c r="AU5" s="7">
        <v>1059</v>
      </c>
      <c r="AV5" s="7">
        <v>998</v>
      </c>
      <c r="AW5" s="7">
        <v>998</v>
      </c>
      <c r="AX5" s="7">
        <v>983</v>
      </c>
      <c r="AY5" s="7">
        <v>983</v>
      </c>
      <c r="AZ5" s="7">
        <v>965</v>
      </c>
      <c r="BA5" s="7">
        <v>1092</v>
      </c>
      <c r="BB5" s="7">
        <v>1120</v>
      </c>
      <c r="BC5" s="7">
        <v>1116</v>
      </c>
      <c r="BD5" s="7">
        <v>1059</v>
      </c>
      <c r="BE5" s="7">
        <v>1005</v>
      </c>
      <c r="BF5" s="7">
        <v>949</v>
      </c>
      <c r="BG5" s="7">
        <v>922</v>
      </c>
      <c r="BH5" s="7">
        <v>924</v>
      </c>
      <c r="BI5" s="7">
        <v>886</v>
      </c>
      <c r="BJ5" s="7">
        <v>890</v>
      </c>
      <c r="BK5" s="7">
        <v>881</v>
      </c>
      <c r="BL5" s="7">
        <v>977</v>
      </c>
      <c r="BM5" s="7">
        <v>980</v>
      </c>
      <c r="BN5" s="7">
        <v>943</v>
      </c>
      <c r="BO5" s="7">
        <v>942</v>
      </c>
      <c r="BP5" s="7">
        <v>942</v>
      </c>
      <c r="BQ5" s="7">
        <v>953</v>
      </c>
      <c r="BR5" s="7">
        <v>960</v>
      </c>
      <c r="BS5" s="7">
        <v>975</v>
      </c>
      <c r="BT5" s="7">
        <v>979</v>
      </c>
      <c r="BU5" s="7">
        <v>952</v>
      </c>
      <c r="BV5" s="7">
        <v>941</v>
      </c>
      <c r="BW5" s="7">
        <v>959</v>
      </c>
      <c r="BX5" s="7">
        <v>962</v>
      </c>
      <c r="BY5" s="7">
        <v>987</v>
      </c>
      <c r="BZ5" s="7">
        <v>970</v>
      </c>
      <c r="CA5" s="7">
        <v>903</v>
      </c>
      <c r="CB5" s="7">
        <v>909</v>
      </c>
      <c r="CC5" s="7">
        <v>897</v>
      </c>
      <c r="CD5" s="7">
        <v>878</v>
      </c>
      <c r="CE5" s="7">
        <v>873</v>
      </c>
      <c r="CF5" s="7">
        <v>870</v>
      </c>
      <c r="CG5" s="7">
        <v>865</v>
      </c>
      <c r="CH5" s="7">
        <v>870</v>
      </c>
      <c r="CI5" s="7">
        <v>867</v>
      </c>
      <c r="CJ5" s="7">
        <v>870</v>
      </c>
      <c r="CK5" s="7">
        <v>880</v>
      </c>
      <c r="CL5" s="7">
        <v>994</v>
      </c>
      <c r="CM5" s="7">
        <v>777</v>
      </c>
      <c r="CN5" s="7">
        <v>974</v>
      </c>
      <c r="CO5" s="7">
        <v>1039</v>
      </c>
      <c r="CP5" s="7">
        <v>1167</v>
      </c>
      <c r="CQ5" s="7">
        <v>1169</v>
      </c>
      <c r="CR5" s="7">
        <v>1147</v>
      </c>
      <c r="CS5" s="7">
        <v>1176</v>
      </c>
      <c r="CT5" s="7">
        <v>1189</v>
      </c>
      <c r="CU5" s="7">
        <v>1302</v>
      </c>
      <c r="CV5" s="7">
        <v>1284</v>
      </c>
      <c r="CW5" s="7">
        <v>911</v>
      </c>
      <c r="CX5" s="7"/>
      <c r="CY5" s="7">
        <v>824</v>
      </c>
      <c r="CZ5" s="7"/>
      <c r="DA5" s="7">
        <v>1152</v>
      </c>
      <c r="DB5" s="7">
        <v>1171</v>
      </c>
      <c r="DC5" s="7">
        <v>1034</v>
      </c>
      <c r="DD5" s="7">
        <v>964</v>
      </c>
      <c r="DE5" s="7">
        <v>952</v>
      </c>
      <c r="DF5" s="7"/>
      <c r="DG5" s="7"/>
      <c r="DH5" s="7"/>
      <c r="DI5" s="7"/>
      <c r="DJ5" s="7">
        <v>1507</v>
      </c>
      <c r="DK5" s="7"/>
      <c r="DL5" s="7">
        <v>1509</v>
      </c>
      <c r="DM5" s="7">
        <v>1816</v>
      </c>
      <c r="DN5" s="7">
        <v>1711</v>
      </c>
      <c r="DO5" s="7"/>
      <c r="DP5" s="7">
        <v>1801</v>
      </c>
      <c r="DQ5" s="7"/>
      <c r="DR5" s="7">
        <v>1733</v>
      </c>
      <c r="DS5" s="7"/>
      <c r="DT5" s="7">
        <v>1713</v>
      </c>
      <c r="DU5" s="7">
        <v>1613</v>
      </c>
      <c r="DV5" s="7">
        <v>1655</v>
      </c>
      <c r="DW5" s="7">
        <v>1635</v>
      </c>
      <c r="DX5" s="7">
        <v>1593</v>
      </c>
      <c r="DY5" s="7">
        <v>1572</v>
      </c>
      <c r="DZ5" s="7">
        <v>1541</v>
      </c>
      <c r="EA5" s="10">
        <v>1549.74</v>
      </c>
      <c r="EB5" s="10"/>
      <c r="EC5" s="10"/>
      <c r="ED5" s="10">
        <v>1539</v>
      </c>
      <c r="EE5" s="10">
        <v>1557</v>
      </c>
      <c r="EF5" s="10">
        <v>1557</v>
      </c>
      <c r="EG5" s="10">
        <v>1583</v>
      </c>
      <c r="EH5" s="10">
        <v>1562</v>
      </c>
      <c r="EI5" s="10">
        <v>1585</v>
      </c>
      <c r="EJ5" s="10">
        <v>1514</v>
      </c>
      <c r="EK5" s="10">
        <v>1417</v>
      </c>
      <c r="EL5" s="10"/>
      <c r="EM5" s="10"/>
      <c r="EN5" s="10">
        <v>1433</v>
      </c>
      <c r="EO5" s="10">
        <v>1436</v>
      </c>
      <c r="EP5" s="10">
        <v>1423</v>
      </c>
      <c r="EQ5" s="10"/>
      <c r="ER5" s="10">
        <v>1440</v>
      </c>
      <c r="ES5" s="10">
        <v>1333</v>
      </c>
      <c r="ET5" s="10"/>
      <c r="EU5" s="10">
        <v>1325</v>
      </c>
      <c r="EV5" s="10">
        <v>1305</v>
      </c>
      <c r="EW5" s="10">
        <v>1437</v>
      </c>
      <c r="EX5" s="10">
        <v>1371</v>
      </c>
      <c r="EY5" s="10">
        <v>1458</v>
      </c>
      <c r="EZ5" s="10">
        <v>1625</v>
      </c>
      <c r="FA5" s="10">
        <v>1631</v>
      </c>
      <c r="FB5" s="10">
        <v>1599</v>
      </c>
      <c r="FC5" s="10"/>
      <c r="FD5" s="10">
        <v>1586</v>
      </c>
      <c r="FE5" s="10">
        <v>1514</v>
      </c>
      <c r="FF5" s="10">
        <v>1507</v>
      </c>
      <c r="FG5" s="10">
        <v>1424</v>
      </c>
      <c r="FH5" s="10"/>
      <c r="FI5" s="10">
        <v>1488</v>
      </c>
      <c r="FJ5" s="10">
        <v>1492</v>
      </c>
      <c r="FK5" s="10">
        <v>1495</v>
      </c>
      <c r="FL5" s="10">
        <v>1515</v>
      </c>
      <c r="FM5" s="10">
        <v>1465</v>
      </c>
      <c r="FN5" s="10">
        <v>1468</v>
      </c>
      <c r="FO5" s="10">
        <v>1424</v>
      </c>
      <c r="FP5" s="10">
        <v>1472</v>
      </c>
      <c r="FQ5" s="10">
        <v>1416</v>
      </c>
      <c r="FR5" s="10">
        <v>1372</v>
      </c>
      <c r="FS5" s="10">
        <v>1342</v>
      </c>
      <c r="FT5" s="10"/>
      <c r="FU5" s="10">
        <v>1343</v>
      </c>
      <c r="FV5" s="10">
        <v>1364</v>
      </c>
      <c r="FW5" s="10">
        <v>1411</v>
      </c>
      <c r="FX5" s="10">
        <v>1356</v>
      </c>
      <c r="FY5" s="10"/>
      <c r="FZ5" s="10"/>
      <c r="GA5" s="10">
        <v>1395</v>
      </c>
      <c r="GB5" s="10">
        <v>1378</v>
      </c>
      <c r="GC5" s="10">
        <v>1467</v>
      </c>
      <c r="GD5" s="10">
        <v>1376</v>
      </c>
      <c r="GE5" s="10">
        <v>1393</v>
      </c>
      <c r="GF5" s="10">
        <v>1360</v>
      </c>
      <c r="GG5" s="10">
        <v>1413</v>
      </c>
      <c r="GH5" s="10">
        <v>1322</v>
      </c>
      <c r="GI5" s="10">
        <v>1322</v>
      </c>
      <c r="GJ5" s="10">
        <v>1322</v>
      </c>
      <c r="GK5" s="10">
        <v>1286</v>
      </c>
      <c r="GL5" s="10">
        <v>1514</v>
      </c>
      <c r="GM5" s="10">
        <v>1511</v>
      </c>
      <c r="GN5" s="10">
        <v>1492</v>
      </c>
      <c r="GO5" s="10">
        <v>1492</v>
      </c>
      <c r="GP5" s="10">
        <v>1475</v>
      </c>
      <c r="GQ5" s="10">
        <v>1487</v>
      </c>
      <c r="GR5" s="10">
        <v>1487</v>
      </c>
      <c r="GS5" s="10">
        <v>1463</v>
      </c>
      <c r="GT5" s="10">
        <v>1400</v>
      </c>
      <c r="GU5" s="10">
        <v>1394</v>
      </c>
      <c r="GV5" s="10">
        <v>1437</v>
      </c>
      <c r="GW5" s="10">
        <v>1440</v>
      </c>
      <c r="GX5" s="10">
        <v>1428</v>
      </c>
      <c r="GY5" s="10">
        <v>1402</v>
      </c>
      <c r="GZ5" s="10">
        <v>1402</v>
      </c>
      <c r="HA5" s="10">
        <v>1391</v>
      </c>
      <c r="HB5" s="10">
        <v>1391</v>
      </c>
      <c r="HC5" s="10">
        <v>1385</v>
      </c>
      <c r="HD5" s="10">
        <v>1391</v>
      </c>
      <c r="HE5" s="10">
        <v>1381</v>
      </c>
      <c r="HF5" s="10">
        <v>1373</v>
      </c>
      <c r="HG5" s="10">
        <v>1535</v>
      </c>
      <c r="HH5" s="10">
        <v>1604</v>
      </c>
      <c r="HI5" s="10">
        <v>1605</v>
      </c>
      <c r="HJ5" s="10">
        <v>1616</v>
      </c>
      <c r="HK5" s="10">
        <v>1615</v>
      </c>
      <c r="HL5" s="10">
        <v>1678</v>
      </c>
      <c r="HM5" s="10">
        <v>1670</v>
      </c>
      <c r="HN5" s="10">
        <v>1679</v>
      </c>
      <c r="HO5" s="10">
        <v>743</v>
      </c>
      <c r="HP5" s="10">
        <v>837</v>
      </c>
      <c r="HQ5" s="10">
        <v>958</v>
      </c>
      <c r="HR5" s="10">
        <v>885</v>
      </c>
      <c r="HS5" s="10">
        <v>1058</v>
      </c>
      <c r="HT5" s="10">
        <v>1068</v>
      </c>
      <c r="HU5" s="10">
        <v>1009</v>
      </c>
      <c r="HV5" s="10">
        <v>999.68</v>
      </c>
      <c r="HW5" s="10">
        <v>844</v>
      </c>
      <c r="HX5" s="10">
        <v>894</v>
      </c>
      <c r="HY5" s="10">
        <v>861</v>
      </c>
      <c r="HZ5" s="10">
        <v>813</v>
      </c>
      <c r="IA5" s="10">
        <v>763</v>
      </c>
      <c r="IB5" s="10">
        <v>842</v>
      </c>
      <c r="IC5" s="10">
        <v>699</v>
      </c>
      <c r="ID5" s="10">
        <v>746</v>
      </c>
      <c r="IE5" s="10">
        <v>713</v>
      </c>
      <c r="IF5" s="10">
        <v>625</v>
      </c>
      <c r="IG5" s="10">
        <v>675</v>
      </c>
      <c r="IH5" s="10">
        <v>726</v>
      </c>
      <c r="II5" s="10">
        <v>808</v>
      </c>
      <c r="IJ5" s="10">
        <v>755</v>
      </c>
      <c r="IK5" s="10">
        <v>692</v>
      </c>
      <c r="IL5" s="10">
        <v>707</v>
      </c>
      <c r="IM5" s="10">
        <v>707</v>
      </c>
      <c r="IN5" s="10">
        <v>607</v>
      </c>
      <c r="IO5" s="10">
        <v>596</v>
      </c>
      <c r="IP5" s="10">
        <v>596</v>
      </c>
      <c r="IQ5" s="10">
        <v>572</v>
      </c>
      <c r="IR5" s="10">
        <v>551</v>
      </c>
      <c r="IS5" s="10">
        <v>551</v>
      </c>
      <c r="IT5" s="10">
        <v>551</v>
      </c>
      <c r="IU5" s="10">
        <v>551</v>
      </c>
      <c r="IV5" s="10">
        <v>551</v>
      </c>
      <c r="IW5" s="10">
        <v>551</v>
      </c>
      <c r="IX5" s="10">
        <v>551</v>
      </c>
      <c r="IY5" s="10">
        <v>551</v>
      </c>
      <c r="IZ5" s="10">
        <v>578</v>
      </c>
      <c r="JA5" s="10">
        <v>766</v>
      </c>
      <c r="JB5" s="10">
        <v>837</v>
      </c>
      <c r="JC5" s="10">
        <v>858</v>
      </c>
      <c r="JD5" s="10">
        <v>1030</v>
      </c>
      <c r="JE5" s="10">
        <v>1117</v>
      </c>
      <c r="JF5" s="10">
        <v>1049</v>
      </c>
      <c r="JG5" s="10">
        <v>1051</v>
      </c>
      <c r="JH5" s="10">
        <v>1075</v>
      </c>
      <c r="JI5" s="10">
        <v>1071</v>
      </c>
      <c r="JJ5" s="10">
        <v>1115</v>
      </c>
      <c r="JK5" s="10">
        <v>1104</v>
      </c>
      <c r="JL5" s="10">
        <v>1106</v>
      </c>
      <c r="JM5" s="10">
        <v>1101</v>
      </c>
      <c r="JN5" s="10">
        <v>1132</v>
      </c>
      <c r="JO5" s="10">
        <v>1207</v>
      </c>
      <c r="JP5" s="10">
        <v>1240</v>
      </c>
      <c r="JQ5" s="10">
        <v>1240</v>
      </c>
      <c r="JR5" s="10">
        <v>1236</v>
      </c>
      <c r="JS5" s="10">
        <v>1241</v>
      </c>
      <c r="JT5" s="10">
        <v>1277</v>
      </c>
      <c r="JU5" s="10">
        <v>1332</v>
      </c>
      <c r="JV5" s="10">
        <v>1473</v>
      </c>
      <c r="JW5" s="102">
        <v>1478</v>
      </c>
      <c r="JX5" s="475"/>
      <c r="JY5" s="24" t="s">
        <v>52</v>
      </c>
      <c r="JZ5" s="6" t="s">
        <v>47</v>
      </c>
      <c r="KA5" s="15"/>
      <c r="KB5" s="6" t="s">
        <v>52</v>
      </c>
      <c r="KC5" s="10">
        <v>1484</v>
      </c>
      <c r="KD5" s="10">
        <v>1137</v>
      </c>
      <c r="KE5" s="10">
        <v>714</v>
      </c>
      <c r="KF5" s="10">
        <v>794</v>
      </c>
      <c r="KG5" s="10">
        <v>733</v>
      </c>
      <c r="KH5" s="10">
        <v>644</v>
      </c>
      <c r="KI5" s="10">
        <v>617</v>
      </c>
      <c r="KJ5" s="10">
        <v>623</v>
      </c>
      <c r="KK5" s="122"/>
      <c r="KL5" s="109" t="s">
        <v>118</v>
      </c>
      <c r="KM5" s="10">
        <f>2523-12.6</f>
        <v>2510.4</v>
      </c>
      <c r="KN5" s="10">
        <f>2681-12.6</f>
        <v>2668.4</v>
      </c>
      <c r="KO5" s="10">
        <f>2664-12.6</f>
        <v>2651.4</v>
      </c>
      <c r="KP5" s="10">
        <f>2657-12.6</f>
        <v>2644.4</v>
      </c>
      <c r="KQ5" s="10">
        <f>2657-12.6</f>
        <v>2644.4</v>
      </c>
      <c r="KR5" s="10">
        <f>2765-12.6</f>
        <v>2752.4</v>
      </c>
      <c r="KS5" s="10">
        <f>2927-12.6</f>
        <v>2914.4</v>
      </c>
      <c r="KT5" s="10">
        <f>3081-12.6</f>
        <v>3068.4</v>
      </c>
      <c r="KU5" s="10">
        <f>2943-12.6</f>
        <v>2930.4</v>
      </c>
      <c r="KV5" s="10">
        <f>3077-12.6</f>
        <v>3064.4</v>
      </c>
      <c r="KW5" s="10">
        <f>3230-12.6</f>
        <v>3217.4</v>
      </c>
      <c r="KX5" s="10">
        <f>3458-12.6</f>
        <v>3445.4</v>
      </c>
      <c r="KY5" s="10">
        <f>3169-12.6</f>
        <v>3156.4</v>
      </c>
      <c r="KZ5" s="10">
        <f>3140-12.6</f>
        <v>3127.4</v>
      </c>
      <c r="LA5" s="10">
        <f>3140-12.6</f>
        <v>3127.4</v>
      </c>
      <c r="LB5" s="10">
        <f>3511-12.6</f>
        <v>3498.4</v>
      </c>
      <c r="LC5" s="10">
        <f>3355-12.6</f>
        <v>3342.4</v>
      </c>
      <c r="LD5" s="10">
        <f>3257-12.6</f>
        <v>3244.4</v>
      </c>
      <c r="LE5" s="10">
        <f>3212-12.6</f>
        <v>3199.4</v>
      </c>
      <c r="LF5" s="10">
        <f>3387-12.6</f>
        <v>3374.4</v>
      </c>
      <c r="LG5" s="10">
        <f>3763</f>
        <v>3763</v>
      </c>
      <c r="LH5" s="10">
        <f>3669</f>
        <v>3669</v>
      </c>
      <c r="LI5" s="10">
        <f>3380</f>
        <v>3380</v>
      </c>
      <c r="LJ5" s="10">
        <f>3375</f>
        <v>3375</v>
      </c>
      <c r="LK5" s="10">
        <f>3681</f>
        <v>3681</v>
      </c>
      <c r="LL5" s="10">
        <f>3737</f>
        <v>3737</v>
      </c>
      <c r="LM5" s="10">
        <f>3621</f>
        <v>3621</v>
      </c>
      <c r="LN5" s="10">
        <f>3282-88.3</f>
        <v>3193.7</v>
      </c>
      <c r="LO5" s="10">
        <f>3363-88.3</f>
        <v>3274.7</v>
      </c>
      <c r="LP5" s="10">
        <f>3670-88.3</f>
        <v>3581.7</v>
      </c>
      <c r="LQ5" s="10">
        <f>3687-88.3</f>
        <v>3598.7</v>
      </c>
      <c r="LR5" s="10">
        <f>3509-88.3</f>
        <v>3420.7</v>
      </c>
      <c r="LS5" s="10">
        <f>3154-88.3</f>
        <v>3065.7</v>
      </c>
      <c r="LT5" s="10">
        <f>3149-87.96</f>
        <v>3061.04</v>
      </c>
      <c r="LU5" s="10">
        <f>3438-87.6</f>
        <v>3350.4</v>
      </c>
      <c r="LV5" s="10">
        <f>3017-87.6</f>
        <v>2929.4</v>
      </c>
      <c r="LW5" s="10">
        <f>3017-87.6</f>
        <v>2929.4</v>
      </c>
      <c r="LX5" s="10">
        <f>3240-87.6</f>
        <v>3152.4</v>
      </c>
      <c r="LY5" s="10">
        <f>3433-87.6</f>
        <v>3345.4</v>
      </c>
      <c r="LZ5" s="10">
        <f>3193-87.6</f>
        <v>3105.4</v>
      </c>
      <c r="MA5" s="10">
        <f>3262-84.86</f>
        <v>3177.14</v>
      </c>
      <c r="MB5" s="10">
        <f>3326-83.6</f>
        <v>3242.4</v>
      </c>
      <c r="MC5" s="10">
        <f>3171-83.6</f>
        <v>3087.4</v>
      </c>
      <c r="MD5" s="10">
        <f>2751-83.6</f>
        <v>2667.4</v>
      </c>
      <c r="ME5" s="10">
        <f>2751-83.6</f>
        <v>2667.4</v>
      </c>
      <c r="MF5" s="10">
        <f>3039-83.6</f>
        <v>2955.4</v>
      </c>
      <c r="MG5" s="10">
        <f>2900-83.6</f>
        <v>2816.4</v>
      </c>
      <c r="MH5" s="10">
        <f>2766-83.6</f>
        <v>2682.4</v>
      </c>
      <c r="MI5" s="10">
        <f>2571-83.6</f>
        <v>2487.4</v>
      </c>
      <c r="MJ5" s="10">
        <f>2571-77.79</f>
        <v>2493.21</v>
      </c>
      <c r="MK5" s="10">
        <f>2687-75.53</f>
        <v>2611.4699999999998</v>
      </c>
      <c r="ML5" s="10">
        <f>2845-75.35</f>
        <v>2769.65</v>
      </c>
      <c r="MM5" s="10">
        <f>2643-75.35</f>
        <v>2567.65</v>
      </c>
      <c r="MN5" s="10">
        <f>2841-74.65</f>
        <v>2766.35</v>
      </c>
      <c r="MO5" s="10">
        <f>2544-74.65</f>
        <v>2469.35</v>
      </c>
      <c r="MP5" s="10">
        <f>2612-74.65</f>
        <v>2537.35</v>
      </c>
      <c r="MQ5" s="10">
        <f>2704-74.65</f>
        <v>2629.35</v>
      </c>
      <c r="MR5" s="10">
        <f>2704-63.5</f>
        <v>2640.5</v>
      </c>
      <c r="MS5" s="10">
        <f>2936-58.55</f>
        <v>2877.45</v>
      </c>
      <c r="MT5" s="10">
        <f>2927-58.55</f>
        <v>2868.45</v>
      </c>
      <c r="MU5" s="10">
        <f>2827-54.7</f>
        <v>2772.3</v>
      </c>
      <c r="MV5" s="10">
        <f>2571-54.7</f>
        <v>2516.3000000000002</v>
      </c>
      <c r="MW5" s="10">
        <f>2714-54.7</f>
        <v>2659.3</v>
      </c>
      <c r="MX5" s="10">
        <f>2737-54.7</f>
        <v>2682.3</v>
      </c>
      <c r="MY5" s="10">
        <f>3022-54.7</f>
        <v>2967.3</v>
      </c>
      <c r="MZ5" s="10">
        <f>3107-132.59</f>
        <v>2974.41</v>
      </c>
      <c r="NA5" s="10">
        <f>3206-131.15</f>
        <v>3074.85</v>
      </c>
      <c r="NB5" s="10">
        <f>3558-131.15</f>
        <v>3426.85</v>
      </c>
      <c r="NC5" s="10">
        <f>3537-131.15</f>
        <v>3405.85</v>
      </c>
      <c r="ND5" s="10">
        <f>3506-131.15</f>
        <v>3374.85</v>
      </c>
      <c r="NE5" s="10">
        <f>3219-124.85</f>
        <v>3094.15</v>
      </c>
      <c r="NF5" s="10">
        <f>3877-124.01</f>
        <v>3752.99</v>
      </c>
      <c r="NG5" s="10">
        <f>3969-122.75</f>
        <v>3846.25</v>
      </c>
      <c r="NH5" s="10">
        <f>3851-122.75</f>
        <v>3728.25</v>
      </c>
      <c r="NI5" s="10">
        <f>3557-122.75</f>
        <v>3434.25</v>
      </c>
      <c r="NJ5" s="10">
        <f>3796-104.65</f>
        <v>3691.35</v>
      </c>
      <c r="NK5" s="10">
        <f>4102-103.75</f>
        <v>3998.25</v>
      </c>
      <c r="NL5" s="10">
        <f>4201-103.75</f>
        <v>4097.25</v>
      </c>
      <c r="NM5" s="10">
        <f>4264-99.9</f>
        <v>4164.1000000000004</v>
      </c>
      <c r="NN5" s="10">
        <f>3740-93.55</f>
        <v>3646.45</v>
      </c>
      <c r="NO5" s="10">
        <f>3794-93.55</f>
        <v>3700.45</v>
      </c>
      <c r="NP5" s="10">
        <f>4134-89.72</f>
        <v>4044.28</v>
      </c>
      <c r="NQ5" s="10">
        <f>4173-89</f>
        <v>4084</v>
      </c>
      <c r="NR5" s="10">
        <f>4153-89</f>
        <v>4064</v>
      </c>
      <c r="NS5" s="10">
        <f>3733-88.68</f>
        <v>3644.32</v>
      </c>
      <c r="NT5" s="10">
        <f>3733-88.65</f>
        <v>3644.35</v>
      </c>
      <c r="NU5" s="10">
        <f>3907-88.65</f>
        <v>3818.35</v>
      </c>
      <c r="NV5" s="10">
        <f>4050-82.97</f>
        <v>3967.03</v>
      </c>
      <c r="NW5" s="10">
        <f>4147-81.35</f>
        <v>4065.65</v>
      </c>
      <c r="NX5" s="10">
        <f>3888-81.35</f>
        <v>3806.65</v>
      </c>
      <c r="NY5" s="10">
        <f>3888-81.35</f>
        <v>3806.65</v>
      </c>
      <c r="NZ5" s="10">
        <f>4026-81.35</f>
        <v>3944.65</v>
      </c>
      <c r="OA5" s="10">
        <f>4081-81.35</f>
        <v>3999.65</v>
      </c>
      <c r="OB5" s="10">
        <f>3695-79.25</f>
        <v>3615.75</v>
      </c>
      <c r="OC5" s="10">
        <f>3793-79.25</f>
        <v>3713.75</v>
      </c>
      <c r="OD5" s="10">
        <f>4008-79.25</f>
        <v>3928.75</v>
      </c>
      <c r="OE5" s="10">
        <f>4121-79.25</f>
        <v>4041.75</v>
      </c>
      <c r="OF5" s="10">
        <f>4323-79.25</f>
        <v>4243.75</v>
      </c>
      <c r="OG5" s="10">
        <f>4292-79.25</f>
        <v>4212.75</v>
      </c>
      <c r="OH5" s="10">
        <f>4292-77.42</f>
        <v>4214.58</v>
      </c>
      <c r="OI5" s="10">
        <f>4533-76.7</f>
        <v>4456.3</v>
      </c>
      <c r="OJ5" s="10">
        <f>4604-76.7</f>
        <v>4527.3</v>
      </c>
      <c r="OK5" s="10">
        <f>4767-76.71</f>
        <v>4690.29</v>
      </c>
      <c r="OL5" s="10">
        <f>4777-70.77</f>
        <v>4706.2299999999996</v>
      </c>
      <c r="OM5" s="10">
        <f>4704-70.05</f>
        <v>4633.95</v>
      </c>
      <c r="ON5" s="10">
        <f>4397-70.05</f>
        <v>4326.95</v>
      </c>
      <c r="OO5" s="10">
        <f>4397-70.05</f>
        <v>4326.95</v>
      </c>
      <c r="OP5" s="10">
        <f>4559.72-70.05</f>
        <v>4489.67</v>
      </c>
      <c r="OQ5" s="10">
        <f>4451.16-70.05</f>
        <v>4381.1099999999997</v>
      </c>
      <c r="OR5" s="10">
        <f>4337.6-70.05</f>
        <v>4267.55</v>
      </c>
      <c r="OS5" s="10">
        <f>4454.74-70.05</f>
        <v>4384.6899999999996</v>
      </c>
      <c r="OT5" s="10">
        <f>4229.53-70.05</f>
        <v>4159.4799999999996</v>
      </c>
      <c r="OU5" s="10">
        <f>4082.03-79.462</f>
        <v>4002.5680000000002</v>
      </c>
      <c r="OV5" s="10">
        <f>4165.92-68.459</f>
        <v>4097.4610000000002</v>
      </c>
      <c r="OW5" s="10">
        <f>4451.841</f>
        <v>4451.8410000000003</v>
      </c>
      <c r="OX5" s="10">
        <f>4997.981</f>
        <v>4997.9809999999998</v>
      </c>
      <c r="OY5" s="10">
        <f>4971.701</f>
        <v>4971.701</v>
      </c>
      <c r="OZ5" s="10">
        <f>5219.181</f>
        <v>5219.1809999999996</v>
      </c>
      <c r="PA5" s="10">
        <f>5286.941</f>
        <v>5286.9409999999998</v>
      </c>
      <c r="PB5" s="10">
        <f>5234.741</f>
        <v>5234.741</v>
      </c>
      <c r="PC5" s="10">
        <f>5170.791</f>
        <v>5170.7910000000002</v>
      </c>
      <c r="PD5" s="10">
        <f>5631.541</f>
        <v>5631.5410000000002</v>
      </c>
      <c r="PE5" s="10">
        <f>6169.571</f>
        <v>6169.5709999999999</v>
      </c>
      <c r="PF5" s="10">
        <f>5989.401</f>
        <v>5989.4009999999998</v>
      </c>
      <c r="PG5" s="10">
        <f>5981.323</f>
        <v>5981.3230000000003</v>
      </c>
      <c r="PH5" s="10">
        <f>5743.123</f>
        <v>5743.1229999999996</v>
      </c>
      <c r="PI5" s="10">
        <f>5816.123</f>
        <v>5816.1229999999996</v>
      </c>
      <c r="PJ5" s="10">
        <f>6118.854</f>
        <v>6118.8540000000003</v>
      </c>
      <c r="PK5" s="10">
        <f>6115.624</f>
        <v>6115.6239999999998</v>
      </c>
      <c r="PL5" s="10">
        <f>6202.476</f>
        <v>6202.4759999999997</v>
      </c>
      <c r="PM5" s="10">
        <f>6460.926</f>
        <v>6460.9260000000004</v>
      </c>
      <c r="PN5" s="10">
        <f>6688.846</f>
        <v>6688.8459999999995</v>
      </c>
      <c r="PO5" s="10">
        <f>6488.957</f>
        <v>6488.9570000000003</v>
      </c>
      <c r="PP5" s="10">
        <f>6752.207</f>
        <v>6752.2070000000003</v>
      </c>
      <c r="PQ5" s="10">
        <f>6994.157</f>
        <v>6994.1570000000002</v>
      </c>
      <c r="PR5" s="10">
        <f>7052.277</f>
        <v>7052.277</v>
      </c>
      <c r="PS5" s="10">
        <f>7397.597</f>
        <v>7397.5969999999998</v>
      </c>
      <c r="PT5" s="10">
        <f>7174.557</f>
        <v>7174.5569999999998</v>
      </c>
      <c r="PU5" s="10">
        <f>7174.557</f>
        <v>7174.5569999999998</v>
      </c>
      <c r="PV5" s="10">
        <f>7283.677</f>
        <v>7283.6769999999997</v>
      </c>
      <c r="PW5" s="10">
        <f>7111.897</f>
        <v>7111.8969999999999</v>
      </c>
      <c r="PX5" s="10">
        <f>6865.847</f>
        <v>6865.8469999999998</v>
      </c>
      <c r="PY5" s="10">
        <f>6865.847</f>
        <v>6865.8469999999998</v>
      </c>
      <c r="PZ5" s="10">
        <f>6933.797</f>
        <v>6933.7969999999996</v>
      </c>
      <c r="QA5" s="10">
        <f>7106.018</f>
        <v>7106.018</v>
      </c>
      <c r="QB5" s="10">
        <f>7111.598</f>
        <v>7111.598</v>
      </c>
      <c r="QC5" s="10">
        <f>6967.368</f>
        <v>6967.3680000000004</v>
      </c>
      <c r="QD5" s="10">
        <f>6966.488</f>
        <v>6966.4880000000003</v>
      </c>
      <c r="QE5" s="10">
        <f>7038.478</f>
        <v>7038.4780000000001</v>
      </c>
      <c r="QF5" s="10">
        <f>7119.878</f>
        <v>7119.8779999999997</v>
      </c>
      <c r="QG5" s="10">
        <f>6865.638</f>
        <v>6865.6379999999999</v>
      </c>
      <c r="QH5" s="10">
        <f>6865.638</f>
        <v>6865.6379999999999</v>
      </c>
      <c r="QI5" s="10">
        <f>7061.528</f>
        <v>7061.5280000000002</v>
      </c>
      <c r="QJ5" s="10">
        <f>6632.698</f>
        <v>6632.6980000000003</v>
      </c>
      <c r="QK5" s="10">
        <f>6789.288</f>
        <v>6789.2879999999996</v>
      </c>
      <c r="QL5" s="10">
        <f>6789.288</f>
        <v>6789.2879999999996</v>
      </c>
      <c r="QM5" s="10">
        <f>7047.938</f>
        <v>7047.9380000000001</v>
      </c>
      <c r="QN5" s="10">
        <f>7126.808</f>
        <v>7126.808</v>
      </c>
      <c r="QO5" s="10">
        <f>7065.608</f>
        <v>7065.6080000000002</v>
      </c>
      <c r="QP5" s="10">
        <f>7577.588</f>
        <v>7577.5879999999997</v>
      </c>
      <c r="QQ5" s="10">
        <f>7577.588</f>
        <v>7577.5879999999997</v>
      </c>
      <c r="QR5" s="10">
        <f>7748.918</f>
        <v>7748.9179999999997</v>
      </c>
      <c r="QS5" s="10">
        <f>7742.448</f>
        <v>7742.4480000000003</v>
      </c>
      <c r="QT5" s="10">
        <f>7646.84</f>
        <v>7646.84</v>
      </c>
      <c r="QU5" s="10">
        <f>7546.65</f>
        <v>7546.65</v>
      </c>
      <c r="QV5" s="10">
        <f>7546.65</f>
        <v>7546.65</v>
      </c>
      <c r="QW5" s="10">
        <f>7631.53</f>
        <v>7631.53</v>
      </c>
      <c r="QX5" s="10">
        <f>7652.29</f>
        <v>7652.29</v>
      </c>
      <c r="QY5" s="10">
        <f>7450.96</f>
        <v>7450.96</v>
      </c>
      <c r="QZ5" s="10">
        <f>7442.04</f>
        <v>7442.04</v>
      </c>
      <c r="RA5" s="10">
        <f>7655.31</f>
        <v>7655.31</v>
      </c>
      <c r="RB5" s="10">
        <f>7659.461</f>
        <v>7659.4610000000002</v>
      </c>
      <c r="RC5" s="10">
        <f>7619.031</f>
        <v>7619.0309999999999</v>
      </c>
      <c r="RD5" s="10">
        <f>7428.191</f>
        <v>7428.1909999999998</v>
      </c>
      <c r="RE5" s="10">
        <f>7405.211</f>
        <v>7405.2110000000002</v>
      </c>
      <c r="RF5" s="10">
        <f>7720.761</f>
        <v>7720.7610000000004</v>
      </c>
      <c r="RG5" s="10">
        <f>7509.301</f>
        <v>7509.3010000000004</v>
      </c>
      <c r="RH5" s="10">
        <f>7441.5682</f>
        <v>7441.5681999999997</v>
      </c>
      <c r="RI5" s="10">
        <f>7271.4702</f>
        <v>7271.4701999999997</v>
      </c>
      <c r="RJ5" s="10">
        <f>8063.5602</f>
        <v>8063.5601999999999</v>
      </c>
      <c r="RK5" s="10">
        <f>8006.7702</f>
        <v>8006.7701999999999</v>
      </c>
      <c r="RL5" s="10">
        <f>8108.2902</f>
        <v>8108.2902000000004</v>
      </c>
      <c r="RM5" s="10">
        <f>8114.9002</f>
        <v>8114.9002</v>
      </c>
      <c r="RN5" s="10">
        <f>7488.5602</f>
        <v>7488.5601999999999</v>
      </c>
      <c r="RO5" s="10">
        <f>7483.9402</f>
        <v>7483.9402</v>
      </c>
      <c r="RP5" s="10">
        <f>7620.7402</f>
        <v>7620.7402000000002</v>
      </c>
      <c r="RQ5" s="10">
        <f>7368.1502</f>
        <v>7368.1502</v>
      </c>
      <c r="RR5" s="10">
        <f>7658.1502</f>
        <v>7658.1502</v>
      </c>
      <c r="RS5" s="10">
        <f>7438.3522</f>
        <v>7438.3522000000003</v>
      </c>
      <c r="RT5" s="10">
        <f>7438.3522</f>
        <v>7438.3522000000003</v>
      </c>
      <c r="RU5" s="10">
        <f>7600.3522</f>
        <v>7600.3522000000003</v>
      </c>
      <c r="RV5" s="10">
        <f>7413.0222</f>
        <v>7413.0222000000003</v>
      </c>
      <c r="RW5" s="10">
        <f>7212.0222</f>
        <v>7212.0222000000003</v>
      </c>
      <c r="RX5" s="10">
        <f>6990.2622</f>
        <v>6990.2622000000001</v>
      </c>
      <c r="RY5" s="10">
        <f>6934.9922</f>
        <v>6934.9921999999997</v>
      </c>
      <c r="RZ5" s="10">
        <f>7003.0922</f>
        <v>7003.0922</v>
      </c>
      <c r="SA5" s="10">
        <f>6908.2422</f>
        <v>6908.2421999999997</v>
      </c>
      <c r="SB5" s="10">
        <f>6901.4422</f>
        <v>6901.4422000000004</v>
      </c>
      <c r="SC5" s="10">
        <f>7429.7322</f>
        <v>7429.7322000000004</v>
      </c>
      <c r="SD5" s="10">
        <f>7429.7322</f>
        <v>7429.7322000000004</v>
      </c>
      <c r="SE5" s="10">
        <f>7723.7822</f>
        <v>7723.7821999999996</v>
      </c>
      <c r="SF5" s="10">
        <f>7723.7822</f>
        <v>7723.7821999999996</v>
      </c>
      <c r="SG5" s="10">
        <f>7819.6522</f>
        <v>7819.6522000000004</v>
      </c>
      <c r="SH5" s="10">
        <v>7593.0821999999998</v>
      </c>
      <c r="SI5" s="10">
        <v>7784.8231999999998</v>
      </c>
      <c r="SJ5" s="10">
        <v>7542.4132</v>
      </c>
      <c r="SK5" s="10">
        <v>7543.8332</v>
      </c>
      <c r="SL5" s="10">
        <v>7417.3532000000005</v>
      </c>
      <c r="SM5" s="10">
        <v>7287.9932000000008</v>
      </c>
      <c r="SN5" s="10">
        <v>6905.4400000000005</v>
      </c>
      <c r="SO5" s="10">
        <v>6905.4432000000006</v>
      </c>
      <c r="SP5" s="10">
        <v>6982.5432000000001</v>
      </c>
      <c r="SQ5" s="10">
        <v>7096.4332000000004</v>
      </c>
      <c r="SR5" s="10">
        <v>7000.7932000000001</v>
      </c>
      <c r="SS5" s="10">
        <v>6730.6451999999999</v>
      </c>
      <c r="ST5" s="10">
        <v>6728.9952000000003</v>
      </c>
      <c r="SU5" s="10">
        <v>6809.0652</v>
      </c>
      <c r="SV5" s="10">
        <v>6927.9252000000006</v>
      </c>
      <c r="SW5" s="10">
        <v>6831.2952000000005</v>
      </c>
      <c r="SX5" s="10">
        <v>6939.4161999999997</v>
      </c>
      <c r="SY5" s="10">
        <v>6939.4161999999997</v>
      </c>
      <c r="SZ5" s="10">
        <v>6995.7961999999998</v>
      </c>
      <c r="TA5" s="10">
        <v>7231.2362000000003</v>
      </c>
      <c r="TB5" s="10">
        <v>7310.2861999999996</v>
      </c>
      <c r="TC5" s="10">
        <v>7607.1032000000005</v>
      </c>
      <c r="TD5" s="10">
        <v>7936.11</v>
      </c>
      <c r="TE5" s="10">
        <v>7973.454999999999</v>
      </c>
      <c r="TF5" s="10">
        <v>8107.1319999999987</v>
      </c>
      <c r="TG5" s="10">
        <v>8095.5250000000005</v>
      </c>
      <c r="TH5" s="10">
        <v>8001.8470000000007</v>
      </c>
      <c r="TI5" s="10">
        <v>8066.8770000000004</v>
      </c>
      <c r="TJ5" s="10">
        <v>7954.2759999999998</v>
      </c>
      <c r="TK5" s="10">
        <v>7950.1289999999999</v>
      </c>
      <c r="TL5" s="10">
        <v>7878.0240000000003</v>
      </c>
      <c r="TM5" s="10">
        <v>7893.3040000000001</v>
      </c>
      <c r="TN5" s="10">
        <v>7995.11</v>
      </c>
      <c r="TO5" s="10">
        <v>8157.4509999999991</v>
      </c>
      <c r="TP5" s="10">
        <v>8039.8289999999997</v>
      </c>
      <c r="TQ5" s="10">
        <v>7648.4859999999999</v>
      </c>
      <c r="TR5" s="10">
        <v>7722.9690000000001</v>
      </c>
      <c r="TS5" s="10">
        <v>7780.3969999999999</v>
      </c>
      <c r="TT5" s="10">
        <v>8177.5649999999996</v>
      </c>
      <c r="TU5" s="10">
        <v>8438.4069999999992</v>
      </c>
      <c r="TV5" s="10">
        <v>8320.9480000000003</v>
      </c>
      <c r="TW5" s="10">
        <v>8392</v>
      </c>
      <c r="TX5" s="10">
        <v>8400.7654999999995</v>
      </c>
      <c r="TY5" s="10">
        <v>8187.0985000000001</v>
      </c>
      <c r="TZ5" s="10">
        <v>8076.7214999999997</v>
      </c>
      <c r="UA5" s="10">
        <v>8155.3774999999996</v>
      </c>
      <c r="UB5" s="10">
        <v>8500.9580000000005</v>
      </c>
      <c r="UC5" s="10">
        <v>8453.3719999999994</v>
      </c>
      <c r="UD5" s="10">
        <v>8305.3430000000008</v>
      </c>
      <c r="UE5" s="10">
        <v>8327.3549999999996</v>
      </c>
      <c r="UF5" s="10">
        <v>8360.6229999999996</v>
      </c>
      <c r="UG5" s="10">
        <v>8230.9920000000002</v>
      </c>
      <c r="UH5" s="10">
        <v>8178.9039999999995</v>
      </c>
      <c r="UI5" s="10">
        <v>8122.5540000000001</v>
      </c>
      <c r="UJ5" s="10">
        <v>7852.7849999999999</v>
      </c>
      <c r="UK5" s="10">
        <v>7991.1760000000004</v>
      </c>
      <c r="UL5" s="10">
        <v>8139.6382999999996</v>
      </c>
      <c r="UM5" s="10">
        <v>7734.1689999999999</v>
      </c>
      <c r="UN5" s="10">
        <v>7912.299</v>
      </c>
      <c r="UO5" s="10">
        <v>7565.2809999999999</v>
      </c>
      <c r="UP5" s="10">
        <v>7652.4679999999998</v>
      </c>
      <c r="UQ5" s="10">
        <v>7542.009</v>
      </c>
      <c r="UR5" s="10">
        <v>7383.1989999999996</v>
      </c>
      <c r="US5" s="10">
        <v>7432.29</v>
      </c>
      <c r="UT5" s="10">
        <v>7507.1670000000004</v>
      </c>
      <c r="UU5" s="10">
        <v>7598.5829999999996</v>
      </c>
      <c r="UV5" s="10">
        <v>7514.0439999999999</v>
      </c>
      <c r="UW5" s="10">
        <v>7379.5820000000003</v>
      </c>
      <c r="UX5" s="10">
        <v>7486.1840000000002</v>
      </c>
      <c r="UY5" s="10">
        <v>7580.1940000000004</v>
      </c>
      <c r="UZ5" s="10">
        <v>7560.0334999999995</v>
      </c>
      <c r="VA5" s="10">
        <v>7329.3029999999999</v>
      </c>
      <c r="VB5" s="10">
        <v>7329.3029999999999</v>
      </c>
      <c r="VC5" s="10">
        <v>7023.2794999999996</v>
      </c>
      <c r="VD5" s="10">
        <v>7192.4264999999996</v>
      </c>
      <c r="VE5" s="10">
        <v>7562</v>
      </c>
      <c r="VF5" s="10">
        <v>7317</v>
      </c>
      <c r="VG5" s="10">
        <v>6973.4430000000002</v>
      </c>
      <c r="VH5" s="10">
        <v>6811.4641999999994</v>
      </c>
      <c r="VI5" s="10">
        <v>6880.652</v>
      </c>
      <c r="VJ5" s="10">
        <v>7015.3280000000004</v>
      </c>
      <c r="VK5" s="10">
        <v>7013.8609999999999</v>
      </c>
      <c r="VL5" s="10">
        <v>6909.7629999999999</v>
      </c>
      <c r="VM5" s="10">
        <v>6965.8450000000003</v>
      </c>
      <c r="VN5" s="10">
        <v>6943.5360000000001</v>
      </c>
      <c r="VO5" s="10">
        <v>6902.7579999999998</v>
      </c>
      <c r="VP5" s="10">
        <v>6768.86</v>
      </c>
      <c r="VQ5" s="10">
        <v>6837.9930000000004</v>
      </c>
      <c r="VR5" s="10">
        <v>6918.9189999999999</v>
      </c>
      <c r="VS5" s="10">
        <v>6897.0810000000001</v>
      </c>
      <c r="VT5" s="10">
        <v>6953.299</v>
      </c>
      <c r="VU5" s="10">
        <v>6465.56</v>
      </c>
      <c r="VV5" s="10">
        <v>6559.4219999999996</v>
      </c>
      <c r="VW5" s="10">
        <v>6548.0829999999996</v>
      </c>
      <c r="VX5" s="10">
        <v>6660.741</v>
      </c>
      <c r="VY5" s="10">
        <v>6539.7110000000002</v>
      </c>
      <c r="VZ5" s="10">
        <v>6319.8220000000001</v>
      </c>
      <c r="WA5" s="10">
        <v>6487.8959999999997</v>
      </c>
      <c r="WB5" s="10">
        <v>6832.3789999999999</v>
      </c>
      <c r="WC5" s="10">
        <v>6791.2269999999999</v>
      </c>
      <c r="WD5" s="10">
        <v>6819.6959999999999</v>
      </c>
      <c r="WE5" s="10">
        <v>6709.5855000000001</v>
      </c>
      <c r="WF5" s="10">
        <v>6840.9030000000002</v>
      </c>
      <c r="WG5" s="10">
        <v>7021.9319999999998</v>
      </c>
      <c r="WH5" s="10">
        <v>7037.8739999999998</v>
      </c>
      <c r="WI5" s="10">
        <v>7116.2039999999997</v>
      </c>
      <c r="WJ5" s="10">
        <v>7200.9449999999997</v>
      </c>
      <c r="WK5" s="10">
        <v>7262.6379999999999</v>
      </c>
      <c r="WL5" s="10">
        <v>7169.3230000000003</v>
      </c>
      <c r="WM5" s="10">
        <v>7093.2420000000002</v>
      </c>
      <c r="WN5" s="10">
        <v>7011.4269999999997</v>
      </c>
      <c r="WO5" s="10">
        <v>7161.5280000000002</v>
      </c>
      <c r="WP5" s="10">
        <v>7203.2860000000001</v>
      </c>
      <c r="WQ5" s="10">
        <v>7003.5339999999997</v>
      </c>
      <c r="WR5" s="10">
        <v>7010.52</v>
      </c>
      <c r="WS5" s="10">
        <v>7141.576</v>
      </c>
      <c r="WT5" s="10">
        <v>7322.5020000000004</v>
      </c>
      <c r="WU5" s="10">
        <v>7039.0210000000006</v>
      </c>
      <c r="WV5" s="10">
        <v>7253.9110000000001</v>
      </c>
      <c r="WW5" s="10">
        <v>7112.7579999999998</v>
      </c>
      <c r="WX5" s="10">
        <v>6822.6379999999999</v>
      </c>
      <c r="WY5" s="10">
        <v>7010.99</v>
      </c>
      <c r="WZ5" s="10">
        <v>7186.0730000000003</v>
      </c>
      <c r="XA5" s="10">
        <v>6832.8580000000002</v>
      </c>
      <c r="XB5" s="10">
        <v>6993.43</v>
      </c>
      <c r="XC5" s="10">
        <v>7030.3180000000002</v>
      </c>
      <c r="XD5" s="10">
        <v>6979.835</v>
      </c>
      <c r="XE5" s="10">
        <v>7028.8620000000001</v>
      </c>
      <c r="XF5" s="10">
        <v>6731.15</v>
      </c>
      <c r="XG5" s="10">
        <v>6847.5060000000003</v>
      </c>
      <c r="XH5" s="10">
        <v>6896.1589999999997</v>
      </c>
      <c r="XI5" s="10">
        <v>6729.1970000000001</v>
      </c>
      <c r="XJ5" s="10">
        <v>6811.558</v>
      </c>
      <c r="XK5" s="10">
        <v>6660.737000000001</v>
      </c>
      <c r="XL5" s="10">
        <v>7165.4770000000008</v>
      </c>
      <c r="XM5" s="10">
        <v>7053.6020000000008</v>
      </c>
      <c r="XN5" s="10">
        <v>7217.6470000000008</v>
      </c>
      <c r="XO5" s="10">
        <v>7281.5429999999997</v>
      </c>
      <c r="XP5" s="10">
        <v>7362.0259999999998</v>
      </c>
      <c r="XQ5" s="10">
        <v>7470.2219999999998</v>
      </c>
      <c r="XR5" s="10">
        <v>7407.2849999999999</v>
      </c>
      <c r="XS5" s="10">
        <v>7332.7039999999997</v>
      </c>
      <c r="XT5" s="10">
        <v>7421.4660000000003</v>
      </c>
      <c r="XU5" s="10">
        <v>7693.2470000000003</v>
      </c>
      <c r="XV5" s="10">
        <v>7430.6480000000001</v>
      </c>
      <c r="XW5" s="10">
        <v>7356.1769999999997</v>
      </c>
      <c r="XX5" s="10">
        <v>7173.826</v>
      </c>
      <c r="XY5" s="10">
        <v>6730.0990000000002</v>
      </c>
      <c r="XZ5" s="10">
        <v>6838.3609999999999</v>
      </c>
      <c r="YA5" s="10">
        <v>6894.5659999999998</v>
      </c>
      <c r="YB5" s="10">
        <v>6980.7740000000003</v>
      </c>
      <c r="YC5" s="10">
        <v>6912.2070000000003</v>
      </c>
      <c r="YD5" s="10">
        <v>6286.1170000000002</v>
      </c>
      <c r="YE5" s="10">
        <v>6387.5929999999989</v>
      </c>
      <c r="YF5" s="10">
        <v>6456.5640000000003</v>
      </c>
      <c r="YG5" s="10">
        <v>7076.7389999999996</v>
      </c>
      <c r="YH5" s="10">
        <v>7180.6229999999996</v>
      </c>
      <c r="YI5" s="10">
        <v>7194.1170000000002</v>
      </c>
      <c r="YJ5" s="10">
        <v>7147.7820000000002</v>
      </c>
      <c r="YK5" s="10">
        <v>7139.3720000000003</v>
      </c>
      <c r="YL5" s="10">
        <v>7108.8850000000002</v>
      </c>
      <c r="YM5" s="10">
        <v>7329.049</v>
      </c>
      <c r="YN5" s="10">
        <v>7267.7690000000002</v>
      </c>
      <c r="YO5" s="10">
        <v>7539.7209999999995</v>
      </c>
      <c r="YP5" s="10">
        <v>7577.2030000000004</v>
      </c>
      <c r="YQ5" s="10">
        <v>7766.4239999999991</v>
      </c>
      <c r="YR5" s="10">
        <v>7730.9210000000012</v>
      </c>
      <c r="YS5" s="10">
        <v>7759.9059999999999</v>
      </c>
      <c r="YT5" s="10">
        <v>7732.0750000000007</v>
      </c>
      <c r="YU5" s="10">
        <v>7682.7180000000008</v>
      </c>
      <c r="YV5" s="10">
        <v>7388.0519999999997</v>
      </c>
      <c r="YW5" s="10">
        <v>7537.4279999999999</v>
      </c>
      <c r="YX5" s="10">
        <v>7805.4860000000008</v>
      </c>
      <c r="YY5" s="10">
        <v>7708.5050000000001</v>
      </c>
      <c r="YZ5" s="10">
        <v>7808.1189999999997</v>
      </c>
      <c r="ZA5" s="10">
        <v>7661.1470000000008</v>
      </c>
      <c r="ZB5" s="10">
        <v>7723.7350000000006</v>
      </c>
      <c r="ZC5" s="10">
        <v>7687.8829999999998</v>
      </c>
      <c r="ZD5" s="10">
        <v>7590.1630000000005</v>
      </c>
      <c r="ZE5" s="10">
        <v>7346.8850000000002</v>
      </c>
      <c r="ZF5" s="10">
        <v>8065.9849999999988</v>
      </c>
      <c r="ZG5" s="10">
        <v>8281.9290000000001</v>
      </c>
      <c r="ZH5" s="10">
        <v>8426.2090000000007</v>
      </c>
      <c r="ZI5" s="10">
        <v>8506.5239999999994</v>
      </c>
      <c r="ZJ5" s="10">
        <v>8329.2790000000005</v>
      </c>
      <c r="ZK5" s="10">
        <v>8483.1290000000008</v>
      </c>
      <c r="ZL5" s="10">
        <v>8543.0450000000001</v>
      </c>
      <c r="ZM5" s="10">
        <v>8580.7610000000004</v>
      </c>
      <c r="ZN5" s="10">
        <v>8536.4670000000006</v>
      </c>
      <c r="ZO5" s="10">
        <v>8567.9439999999995</v>
      </c>
      <c r="ZP5" s="10">
        <v>8651.1229999999996</v>
      </c>
      <c r="ZQ5" s="10">
        <v>8550.1730000000025</v>
      </c>
      <c r="ZR5" s="10">
        <v>8510.7450000000008</v>
      </c>
      <c r="ZS5" s="10">
        <v>7850.4630000000006</v>
      </c>
      <c r="ZT5" s="10">
        <v>8016.433</v>
      </c>
      <c r="ZU5" s="10">
        <v>8137.6989999999996</v>
      </c>
      <c r="ZV5" s="10">
        <v>8267.6659999999993</v>
      </c>
      <c r="ZW5" s="10">
        <v>8336.5820000000003</v>
      </c>
      <c r="ZX5" s="10">
        <v>8250.5159999999996</v>
      </c>
      <c r="ZY5" s="10">
        <v>8249.9500000000007</v>
      </c>
      <c r="ZZ5" s="10">
        <v>8253.1409999999996</v>
      </c>
      <c r="AAA5" s="10">
        <v>8003.3689999999997</v>
      </c>
      <c r="AAB5" s="10">
        <v>8196.4380000000001</v>
      </c>
      <c r="AAC5" s="10">
        <v>8363.2180000000008</v>
      </c>
      <c r="AAD5" s="10">
        <v>8496.4850000000006</v>
      </c>
      <c r="AAE5" s="10">
        <v>8613.6650000000009</v>
      </c>
      <c r="AAF5" s="10">
        <v>8851.9660000000003</v>
      </c>
      <c r="AAG5" s="10">
        <v>8952.6139999999996</v>
      </c>
      <c r="AAH5" s="10">
        <v>8844.6219999999994</v>
      </c>
      <c r="AAI5" s="10">
        <v>8840.4249999999993</v>
      </c>
      <c r="AAJ5" s="10">
        <v>8821.6749999999993</v>
      </c>
      <c r="AAK5" s="10">
        <v>8613.5</v>
      </c>
      <c r="AAL5" s="10">
        <v>8631.9380000000001</v>
      </c>
      <c r="AAM5" s="10">
        <v>8709.2999999999993</v>
      </c>
      <c r="AAN5" s="10">
        <v>8634.6890000000003</v>
      </c>
      <c r="AAO5" s="10">
        <v>8451.2729999999992</v>
      </c>
      <c r="AAP5" s="10">
        <v>8438.7690000000002</v>
      </c>
      <c r="AAQ5" s="10">
        <v>8657.2980000000007</v>
      </c>
      <c r="AAR5" s="10">
        <v>8814.1020000000008</v>
      </c>
      <c r="AAS5" s="10">
        <v>8756.5509999999995</v>
      </c>
      <c r="AAT5" s="10">
        <v>8647.8790000000008</v>
      </c>
      <c r="AAU5" s="10">
        <v>8717.1919999999991</v>
      </c>
      <c r="AAV5" s="10">
        <v>8568.5720000000001</v>
      </c>
      <c r="AAW5" s="10">
        <v>8431.9989999999998</v>
      </c>
      <c r="AAX5" s="10">
        <v>8311.1350000000002</v>
      </c>
      <c r="AAY5" s="10">
        <v>8189.4740000000011</v>
      </c>
      <c r="AAZ5" s="10">
        <v>8289.2090000000007</v>
      </c>
      <c r="ABA5" s="10">
        <v>8289.9650000000001</v>
      </c>
      <c r="ABB5" s="10">
        <v>8090.7440000000006</v>
      </c>
      <c r="ABC5" s="10">
        <v>8127.8879999999999</v>
      </c>
      <c r="ABD5" s="10">
        <v>7480.2960000000003</v>
      </c>
      <c r="ABE5" s="10">
        <v>7573.2545</v>
      </c>
      <c r="ABF5" s="10">
        <v>7841.1125000000011</v>
      </c>
      <c r="ABG5" s="10">
        <v>7826.1455000000005</v>
      </c>
      <c r="ABH5" s="10">
        <v>7822.5455000000002</v>
      </c>
      <c r="ABI5" s="10">
        <v>7405.4404999999997</v>
      </c>
      <c r="ABJ5" s="10">
        <v>7371.0654999999997</v>
      </c>
      <c r="ABK5" s="10">
        <v>7612.2524999999996</v>
      </c>
      <c r="ABL5" s="10">
        <v>7611.1745000000001</v>
      </c>
      <c r="ABM5" s="10">
        <v>7580.1684999999998</v>
      </c>
      <c r="ABN5" s="10">
        <v>7372.4865</v>
      </c>
      <c r="ABO5" s="10">
        <v>7197.4054999999998</v>
      </c>
      <c r="ABP5" s="10">
        <v>7279.3175000000001</v>
      </c>
      <c r="ABQ5" s="10">
        <v>7227.5595000000003</v>
      </c>
      <c r="ABR5" s="10">
        <v>7331.6864999999998</v>
      </c>
      <c r="ABS5" s="10">
        <v>7203.2830000000004</v>
      </c>
      <c r="ABT5" s="10">
        <v>7014.9669999999996</v>
      </c>
      <c r="ABU5" s="10">
        <v>7079.4309999999996</v>
      </c>
      <c r="ABV5" s="10">
        <v>7075.7719999999999</v>
      </c>
      <c r="ABW5" s="10">
        <v>7062.43</v>
      </c>
      <c r="ABX5" s="10">
        <v>6968.951</v>
      </c>
      <c r="ABY5" s="10">
        <v>6697.3440000000001</v>
      </c>
      <c r="ABZ5" s="10">
        <v>6780.549</v>
      </c>
      <c r="ACA5" s="10">
        <v>6678.1549999999997</v>
      </c>
      <c r="ACB5" s="10">
        <v>6786.5150000000003</v>
      </c>
      <c r="ACC5" s="10">
        <v>6795.5079999999998</v>
      </c>
      <c r="ACD5" s="10">
        <v>6870.1180000000004</v>
      </c>
      <c r="ACE5" s="10">
        <v>7157.7309999999998</v>
      </c>
      <c r="ACF5" s="10">
        <v>7338.8440000000001</v>
      </c>
      <c r="ACG5" s="10">
        <v>7027.9859999999999</v>
      </c>
      <c r="ACH5" s="314">
        <v>7115.7909999999993</v>
      </c>
      <c r="ACI5" s="314">
        <v>7058.771999999999</v>
      </c>
      <c r="ACJ5" s="314">
        <v>7048.277</v>
      </c>
      <c r="ACK5" s="314">
        <v>7066.8599999999988</v>
      </c>
      <c r="ACL5" s="314">
        <v>6802.0370000000003</v>
      </c>
      <c r="ACM5" s="314">
        <v>6980.4350000000004</v>
      </c>
      <c r="ACN5" s="314">
        <v>6983.4409999999998</v>
      </c>
      <c r="ACO5" s="314">
        <v>7226.5450000000001</v>
      </c>
      <c r="ACP5" s="314">
        <v>7302.6930000000002</v>
      </c>
      <c r="ACQ5" s="314">
        <v>7127.9480000000003</v>
      </c>
      <c r="ACR5" s="314">
        <v>7259.03</v>
      </c>
      <c r="ACS5" s="314">
        <v>7252.6660000000002</v>
      </c>
      <c r="ACT5" s="314">
        <v>7245.598</v>
      </c>
      <c r="ACU5" s="314">
        <v>7169.7120000000004</v>
      </c>
      <c r="ACV5" s="314">
        <v>7099.6959999999999</v>
      </c>
      <c r="ACW5" s="314">
        <v>7015.0779999999995</v>
      </c>
      <c r="ACX5" s="314">
        <v>7101.3089999999993</v>
      </c>
      <c r="ACY5" s="314">
        <v>7211.0919999999996</v>
      </c>
      <c r="ACZ5" s="314">
        <v>7089.7759999999998</v>
      </c>
      <c r="ADA5" s="314">
        <v>7195.6220000000003</v>
      </c>
      <c r="ADB5" s="314">
        <v>7235.0249999999996</v>
      </c>
      <c r="ADC5" s="314">
        <v>7368.7380000000003</v>
      </c>
      <c r="ADD5" s="314">
        <v>7350.4570000000003</v>
      </c>
      <c r="ADE5" s="314">
        <v>7272.6570000000011</v>
      </c>
      <c r="ADF5" s="314">
        <v>7555.764000000001</v>
      </c>
      <c r="ADG5" s="314">
        <v>7583.5959999999995</v>
      </c>
      <c r="ADH5" s="314">
        <v>7192.7950000000001</v>
      </c>
      <c r="ADI5" s="314">
        <v>6872.7109999999993</v>
      </c>
      <c r="ADJ5" s="314">
        <v>6779.003999999999</v>
      </c>
      <c r="ADK5" s="314">
        <v>6800.1809999999996</v>
      </c>
      <c r="ADL5" s="314">
        <v>7087.1819999999998</v>
      </c>
      <c r="ADM5" s="314">
        <v>7236.1329999999998</v>
      </c>
      <c r="ADN5" s="324">
        <v>7432.3509999999997</v>
      </c>
      <c r="ADO5" s="314">
        <v>7381.8289999999997</v>
      </c>
      <c r="ADP5" s="314">
        <v>7063.7489999999998</v>
      </c>
      <c r="ADQ5" s="314">
        <v>6982.3239999999996</v>
      </c>
      <c r="ADR5" s="314">
        <v>7082.7349999999997</v>
      </c>
      <c r="ADS5" s="314">
        <v>7140.8440000000001</v>
      </c>
      <c r="ADT5" s="328">
        <v>7197.1869999999999</v>
      </c>
      <c r="ADU5" s="314">
        <v>7298.4269999999997</v>
      </c>
      <c r="ADV5" s="314">
        <v>7552.3770000000004</v>
      </c>
      <c r="ADW5" s="314">
        <v>7645.2359999999999</v>
      </c>
      <c r="ADX5" s="324">
        <v>7608.3159999999998</v>
      </c>
      <c r="ADY5" s="314">
        <v>7433.192</v>
      </c>
      <c r="ADZ5" s="314">
        <v>7362.6949999999997</v>
      </c>
      <c r="AEA5" s="314">
        <v>7326.9449999999997</v>
      </c>
      <c r="AEB5" s="314">
        <v>7458.2659999999996</v>
      </c>
      <c r="AEC5" s="314">
        <v>7463.6750000000002</v>
      </c>
      <c r="AED5" s="314">
        <v>7517.5950000000003</v>
      </c>
      <c r="AEE5" s="314">
        <v>7575.9549999999999</v>
      </c>
      <c r="AEF5" s="314">
        <v>7692.1880000000001</v>
      </c>
      <c r="AEG5" s="314">
        <v>7853.268</v>
      </c>
      <c r="AEH5" s="314">
        <v>8024.7860000000001</v>
      </c>
      <c r="AEI5" s="314">
        <v>8121.9570000000003</v>
      </c>
      <c r="AEJ5" s="314">
        <v>8048.1029999999992</v>
      </c>
      <c r="AEK5" s="314">
        <v>8067.2279999999992</v>
      </c>
      <c r="AEL5" s="324">
        <v>8173.1170000000002</v>
      </c>
      <c r="AEM5" s="314">
        <v>8211.39</v>
      </c>
      <c r="AEN5" s="314">
        <v>8308.2999999999993</v>
      </c>
      <c r="AEO5" s="314">
        <v>8310.9390000000003</v>
      </c>
      <c r="AEP5" s="314">
        <v>8142.2780000000012</v>
      </c>
      <c r="AEQ5" s="314">
        <v>8042</v>
      </c>
      <c r="AER5" s="314">
        <v>8181.9070000000002</v>
      </c>
      <c r="AES5" s="314">
        <v>8276.6560000000009</v>
      </c>
      <c r="AET5" s="314">
        <v>8243.0920000000006</v>
      </c>
      <c r="AEU5" s="314">
        <v>8371.7289999999994</v>
      </c>
      <c r="AEV5" s="314">
        <v>8498.2389999999996</v>
      </c>
      <c r="AEW5" s="314">
        <v>8127.3510000000006</v>
      </c>
      <c r="AEX5" s="314">
        <v>8291.0229999999992</v>
      </c>
      <c r="AEY5" s="314">
        <v>8110.6829999999991</v>
      </c>
      <c r="AEZ5" s="314">
        <v>8141</v>
      </c>
      <c r="AFA5" s="314">
        <v>8024.8390000000009</v>
      </c>
      <c r="AFB5" s="314">
        <v>7963.7079999999996</v>
      </c>
      <c r="AFC5" s="314">
        <v>7958.1440000000011</v>
      </c>
      <c r="AFD5" s="314">
        <v>8101.5170000000007</v>
      </c>
      <c r="AFE5" s="314">
        <v>8223.107</v>
      </c>
      <c r="AFF5" s="314">
        <v>8375.5319999999992</v>
      </c>
      <c r="AFG5" s="314">
        <v>8328.0120000000006</v>
      </c>
      <c r="AFH5" s="314">
        <v>8391.9240000000009</v>
      </c>
      <c r="AFI5" s="314">
        <v>8459</v>
      </c>
      <c r="AFJ5" s="314">
        <v>8436</v>
      </c>
      <c r="AFK5" s="314">
        <v>8487</v>
      </c>
      <c r="AFL5" s="314">
        <v>8283</v>
      </c>
      <c r="AFM5" s="314">
        <v>8155</v>
      </c>
      <c r="AFN5" s="314">
        <v>8222</v>
      </c>
      <c r="AFO5" s="314">
        <v>7971</v>
      </c>
      <c r="AFP5" s="314">
        <v>7871</v>
      </c>
      <c r="AFQ5" s="314">
        <v>7984</v>
      </c>
      <c r="AFR5" s="314">
        <v>8445</v>
      </c>
      <c r="AFS5" s="314">
        <v>8581</v>
      </c>
      <c r="AFT5" s="314">
        <v>8727</v>
      </c>
      <c r="AFU5" s="314">
        <v>8542</v>
      </c>
      <c r="AFV5" s="314">
        <v>8324</v>
      </c>
      <c r="AFW5" s="314">
        <v>7976</v>
      </c>
      <c r="AFX5" s="314">
        <v>8036</v>
      </c>
      <c r="AFY5" s="314">
        <v>7996</v>
      </c>
      <c r="AFZ5" s="314">
        <v>7855</v>
      </c>
      <c r="AGA5" s="314">
        <v>7869</v>
      </c>
      <c r="AGB5" s="314">
        <v>7952</v>
      </c>
      <c r="AGC5" s="314">
        <v>8185</v>
      </c>
      <c r="AGD5" s="314">
        <v>8311</v>
      </c>
      <c r="AGE5" s="314">
        <v>8233</v>
      </c>
      <c r="AGF5" s="314">
        <v>8241</v>
      </c>
      <c r="AGG5" s="314">
        <v>8102</v>
      </c>
      <c r="AGH5" s="314">
        <v>8183</v>
      </c>
      <c r="AGI5" s="314">
        <v>8061</v>
      </c>
      <c r="AGJ5" s="314">
        <v>8133</v>
      </c>
      <c r="AGK5" s="314">
        <v>8083</v>
      </c>
      <c r="AGL5" s="314">
        <v>7982</v>
      </c>
      <c r="AGM5" s="314">
        <v>8116</v>
      </c>
      <c r="AGN5" s="314">
        <v>8198</v>
      </c>
      <c r="AGO5" s="314">
        <v>8264</v>
      </c>
      <c r="AGP5" s="314">
        <v>8016</v>
      </c>
      <c r="AGQ5" s="314">
        <v>8083</v>
      </c>
      <c r="AGR5" s="314">
        <v>8049</v>
      </c>
      <c r="AGS5" s="314">
        <v>8155</v>
      </c>
      <c r="AGT5" s="314">
        <v>8246</v>
      </c>
      <c r="AGU5" s="314">
        <v>8180</v>
      </c>
      <c r="AGV5" s="314">
        <v>8381</v>
      </c>
      <c r="AGW5" s="314">
        <v>8518</v>
      </c>
      <c r="AGX5" s="314">
        <v>8426</v>
      </c>
      <c r="AGY5" s="314">
        <v>8486</v>
      </c>
      <c r="AGZ5" s="314">
        <v>8464</v>
      </c>
      <c r="AHA5" s="314">
        <v>8821</v>
      </c>
      <c r="AHB5" s="314">
        <v>8707</v>
      </c>
      <c r="AHC5" s="314">
        <v>8627</v>
      </c>
      <c r="AHD5" s="314">
        <v>8300</v>
      </c>
      <c r="AHE5" s="314">
        <v>8382</v>
      </c>
      <c r="AHF5" s="314">
        <v>8492</v>
      </c>
      <c r="AHG5" s="328">
        <v>8427</v>
      </c>
      <c r="AHH5" s="314">
        <v>8036</v>
      </c>
      <c r="AHI5" s="314">
        <v>8161</v>
      </c>
      <c r="AHJ5" s="314">
        <v>8297</v>
      </c>
      <c r="AHK5" s="314">
        <v>8155</v>
      </c>
      <c r="AHL5" s="314">
        <v>8257</v>
      </c>
      <c r="AHM5" s="314">
        <v>8062</v>
      </c>
      <c r="AHN5" s="314">
        <v>8062</v>
      </c>
      <c r="AHO5" s="314">
        <v>8243</v>
      </c>
      <c r="AHP5" s="314">
        <v>8238</v>
      </c>
      <c r="AHQ5" s="314">
        <v>8036</v>
      </c>
      <c r="AHR5" s="314">
        <v>8269</v>
      </c>
      <c r="AHS5" s="332">
        <v>8376</v>
      </c>
      <c r="AHT5" s="332">
        <v>8250</v>
      </c>
      <c r="AHU5" s="332">
        <v>8142</v>
      </c>
      <c r="AHV5" s="332">
        <v>8145</v>
      </c>
      <c r="AHW5" s="332">
        <v>8298</v>
      </c>
      <c r="AHX5" s="332">
        <v>8112</v>
      </c>
      <c r="AHY5" s="332">
        <v>7734</v>
      </c>
      <c r="AHZ5" s="332">
        <v>7816</v>
      </c>
      <c r="AIA5" s="332">
        <v>7726</v>
      </c>
      <c r="AIB5" s="332">
        <v>7652</v>
      </c>
      <c r="AIC5" s="332">
        <v>7668</v>
      </c>
      <c r="AID5" s="332">
        <v>7407</v>
      </c>
      <c r="AIE5" s="332">
        <v>7446</v>
      </c>
      <c r="AIF5" s="332">
        <v>7429</v>
      </c>
      <c r="AIG5" s="332">
        <v>7466</v>
      </c>
      <c r="AIH5" s="332">
        <v>7465</v>
      </c>
      <c r="AIJ5" s="113" t="s">
        <v>65</v>
      </c>
      <c r="AIK5" s="314">
        <f>[1]Summary!$C$8</f>
        <v>8773.6718999999994</v>
      </c>
      <c r="AIL5" s="9">
        <f t="shared" ref="AIL5:AIL10" si="5">IF((AIK5/AIR5)&gt;1,1,(AIK5/AIR5))</f>
        <v>0.4177939</v>
      </c>
      <c r="AIM5" s="126">
        <f>IF((AIR5*0.93)-AIK5&lt;0,0,(AIR5*0.93)-AIK5)</f>
        <v>10756.328100000001</v>
      </c>
      <c r="AIN5" s="48"/>
      <c r="AIO5" s="10">
        <f>IF((AIR5*0.95-AIK5)&lt;0,0,(AIR5*0.95-AIK5))-AIN5</f>
        <v>11176.328100000001</v>
      </c>
      <c r="AIP5" s="113" t="s">
        <v>65</v>
      </c>
      <c r="AIQ5" s="8" t="s">
        <v>47</v>
      </c>
      <c r="AIR5" s="78">
        <f>MASTER_DATA!E3</f>
        <v>21000</v>
      </c>
      <c r="AIS5" s="78">
        <f>MASTER_DATA!F3</f>
        <v>240000</v>
      </c>
      <c r="AIT5">
        <v>18000</v>
      </c>
      <c r="AIU5" t="s">
        <v>51</v>
      </c>
      <c r="AIV5" t="s">
        <v>119</v>
      </c>
      <c r="AIW5"/>
      <c r="AJA5" t="s">
        <v>120</v>
      </c>
    </row>
    <row r="6" spans="1:955" ht="30" x14ac:dyDescent="0.25">
      <c r="A6" s="6" t="s">
        <v>73</v>
      </c>
      <c r="B6" s="8" t="s">
        <v>55</v>
      </c>
      <c r="C6" s="76"/>
      <c r="D6" s="7">
        <v>60000</v>
      </c>
      <c r="E6" s="7">
        <v>60000</v>
      </c>
      <c r="F6" s="7">
        <v>60000</v>
      </c>
      <c r="G6" s="7">
        <f>F6</f>
        <v>60000</v>
      </c>
      <c r="H6" s="7">
        <f>G6</f>
        <v>60000</v>
      </c>
      <c r="I6" s="7">
        <f>H6</f>
        <v>60000</v>
      </c>
      <c r="J6" s="7">
        <f>I6</f>
        <v>60000</v>
      </c>
      <c r="K6" s="7">
        <f>J6</f>
        <v>60000</v>
      </c>
      <c r="L6" s="7">
        <f>K6</f>
        <v>60000</v>
      </c>
      <c r="M6" s="7">
        <f>L6</f>
        <v>60000</v>
      </c>
      <c r="N6" s="7">
        <f>M6</f>
        <v>60000</v>
      </c>
      <c r="O6" s="7">
        <f>N6</f>
        <v>60000</v>
      </c>
      <c r="P6" s="7">
        <f>O6</f>
        <v>60000</v>
      </c>
      <c r="Q6" s="7">
        <f>P6</f>
        <v>60000</v>
      </c>
      <c r="R6" s="7">
        <f>Q6</f>
        <v>60000</v>
      </c>
      <c r="S6" s="7">
        <f>R6</f>
        <v>60000</v>
      </c>
      <c r="T6" s="7">
        <f>S6</f>
        <v>60000</v>
      </c>
      <c r="U6" s="7">
        <v>60500</v>
      </c>
      <c r="V6" s="7">
        <v>60500</v>
      </c>
      <c r="W6" s="7"/>
      <c r="X6" s="7"/>
      <c r="Y6" s="7">
        <v>60500</v>
      </c>
      <c r="Z6" s="7">
        <v>60500</v>
      </c>
      <c r="AA6" s="7">
        <v>60500</v>
      </c>
      <c r="AB6" s="7">
        <v>60500</v>
      </c>
      <c r="AC6" s="7">
        <v>60500</v>
      </c>
      <c r="AD6" s="7"/>
      <c r="AE6" s="7">
        <v>60500</v>
      </c>
      <c r="AF6" s="7">
        <v>60500</v>
      </c>
      <c r="AG6" s="7">
        <v>61000</v>
      </c>
      <c r="AH6" s="7">
        <v>61000</v>
      </c>
      <c r="AI6" s="7">
        <v>61000</v>
      </c>
      <c r="AJ6" s="7">
        <v>61000</v>
      </c>
      <c r="AK6" s="7">
        <v>61000</v>
      </c>
      <c r="AL6" s="7">
        <v>61000</v>
      </c>
      <c r="AM6" s="7">
        <v>60500</v>
      </c>
      <c r="AN6" s="7">
        <v>60500</v>
      </c>
      <c r="AO6" s="7">
        <v>60500</v>
      </c>
      <c r="AP6" s="7">
        <v>60500</v>
      </c>
      <c r="AQ6" s="7">
        <v>60500</v>
      </c>
      <c r="AR6" s="7">
        <v>60500</v>
      </c>
      <c r="AS6" s="7">
        <v>60500</v>
      </c>
      <c r="AT6" s="7">
        <v>60500</v>
      </c>
      <c r="AU6" s="7">
        <v>60500</v>
      </c>
      <c r="AV6" s="7">
        <v>60500</v>
      </c>
      <c r="AW6" s="7">
        <v>60500</v>
      </c>
      <c r="AX6" s="7">
        <v>60500</v>
      </c>
      <c r="AY6" s="7">
        <v>60500</v>
      </c>
      <c r="AZ6" s="7">
        <v>60500</v>
      </c>
      <c r="BA6" s="7">
        <v>60500</v>
      </c>
      <c r="BB6" s="7">
        <v>60500</v>
      </c>
      <c r="BC6" s="7">
        <v>60500</v>
      </c>
      <c r="BD6" s="7">
        <v>60500</v>
      </c>
      <c r="BE6" s="7">
        <v>60500</v>
      </c>
      <c r="BF6" s="7">
        <v>60500</v>
      </c>
      <c r="BG6" s="7">
        <v>60500</v>
      </c>
      <c r="BH6" s="7">
        <v>60500</v>
      </c>
      <c r="BI6" s="7">
        <v>60500</v>
      </c>
      <c r="BJ6" s="7">
        <v>60500</v>
      </c>
      <c r="BK6" s="7">
        <v>60500</v>
      </c>
      <c r="BL6" s="7">
        <v>60500</v>
      </c>
      <c r="BM6" s="7">
        <v>60500</v>
      </c>
      <c r="BN6" s="7">
        <v>60500</v>
      </c>
      <c r="BO6" s="7">
        <v>60500</v>
      </c>
      <c r="BP6" s="7">
        <v>60500</v>
      </c>
      <c r="BQ6" s="7">
        <v>60500</v>
      </c>
      <c r="BR6" s="7">
        <v>60500</v>
      </c>
      <c r="BS6" s="7">
        <v>60500</v>
      </c>
      <c r="BT6" s="7">
        <v>60500</v>
      </c>
      <c r="BU6" s="7">
        <v>60500</v>
      </c>
      <c r="BV6" s="7">
        <v>60500</v>
      </c>
      <c r="BW6" s="7">
        <v>60500</v>
      </c>
      <c r="BX6" s="7">
        <v>60500</v>
      </c>
      <c r="BY6" s="7">
        <v>60500</v>
      </c>
      <c r="BZ6" s="7">
        <v>60500</v>
      </c>
      <c r="CA6" s="7">
        <v>60500</v>
      </c>
      <c r="CB6" s="7">
        <v>60500</v>
      </c>
      <c r="CC6" s="7">
        <v>60500</v>
      </c>
      <c r="CD6" s="7">
        <v>60500</v>
      </c>
      <c r="CE6" s="7">
        <v>60500</v>
      </c>
      <c r="CF6" s="7">
        <v>60500</v>
      </c>
      <c r="CG6" s="7">
        <v>60500</v>
      </c>
      <c r="CH6" s="7">
        <v>60500</v>
      </c>
      <c r="CI6" s="7">
        <v>60500</v>
      </c>
      <c r="CJ6" s="7">
        <v>60500</v>
      </c>
      <c r="CK6" s="7">
        <v>60500</v>
      </c>
      <c r="CL6" s="7">
        <v>60500</v>
      </c>
      <c r="CM6" s="7">
        <v>60500</v>
      </c>
      <c r="CN6" s="7">
        <v>60500</v>
      </c>
      <c r="CO6" s="7">
        <v>60500</v>
      </c>
      <c r="CP6" s="7">
        <v>60500</v>
      </c>
      <c r="CQ6" s="7">
        <v>60500</v>
      </c>
      <c r="CR6" s="7">
        <v>60500</v>
      </c>
      <c r="CS6" s="7">
        <v>60500</v>
      </c>
      <c r="CT6" s="7">
        <v>60500</v>
      </c>
      <c r="CU6" s="7">
        <v>60500</v>
      </c>
      <c r="CV6" s="7">
        <v>60500</v>
      </c>
      <c r="CW6" s="7">
        <v>60500</v>
      </c>
      <c r="CX6" s="7">
        <v>60500</v>
      </c>
      <c r="CY6" s="7">
        <v>60500</v>
      </c>
      <c r="CZ6" s="7">
        <v>60500</v>
      </c>
      <c r="DA6" s="7">
        <v>60500</v>
      </c>
      <c r="DB6" s="7">
        <v>60500</v>
      </c>
      <c r="DC6" s="7">
        <v>60500</v>
      </c>
      <c r="DD6" s="7">
        <v>60500</v>
      </c>
      <c r="DE6" s="7">
        <v>60500</v>
      </c>
      <c r="DF6" s="7">
        <v>60500</v>
      </c>
      <c r="DG6" s="7">
        <v>60500</v>
      </c>
      <c r="DH6" s="7">
        <v>60500</v>
      </c>
      <c r="DI6" s="7">
        <v>60500</v>
      </c>
      <c r="DJ6" s="7">
        <v>60500</v>
      </c>
      <c r="DK6" s="7">
        <v>60500</v>
      </c>
      <c r="DL6" s="7">
        <v>60500</v>
      </c>
      <c r="DM6" s="7">
        <v>60500</v>
      </c>
      <c r="DN6" s="7">
        <v>60500</v>
      </c>
      <c r="DO6" s="7">
        <v>60500</v>
      </c>
      <c r="DP6" s="7">
        <v>60500</v>
      </c>
      <c r="DQ6" s="7">
        <v>60500</v>
      </c>
      <c r="DR6" s="7">
        <v>60500</v>
      </c>
      <c r="DS6" s="7">
        <v>60500</v>
      </c>
      <c r="DT6" s="7">
        <v>60500</v>
      </c>
      <c r="DU6" s="7">
        <v>60500</v>
      </c>
      <c r="DV6" s="7">
        <v>60500</v>
      </c>
      <c r="DW6" s="7">
        <v>60500</v>
      </c>
      <c r="DX6" s="7">
        <v>60500</v>
      </c>
      <c r="DY6" s="7">
        <v>60500</v>
      </c>
      <c r="DZ6" s="7">
        <v>60500</v>
      </c>
      <c r="EA6" s="7">
        <v>60500</v>
      </c>
      <c r="EB6" s="7">
        <v>60500</v>
      </c>
      <c r="EC6" s="7">
        <v>60500</v>
      </c>
      <c r="ED6" s="7">
        <v>60500</v>
      </c>
      <c r="EE6" s="7">
        <v>60500</v>
      </c>
      <c r="EF6" s="7">
        <v>60500</v>
      </c>
      <c r="EG6" s="7">
        <v>60500</v>
      </c>
      <c r="EH6" s="7">
        <v>60500</v>
      </c>
      <c r="EI6" s="7">
        <v>60500</v>
      </c>
      <c r="EJ6" s="7">
        <v>60500</v>
      </c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26"/>
      <c r="EX6" s="7"/>
      <c r="EY6" s="7"/>
      <c r="EZ6" s="78">
        <v>26386</v>
      </c>
      <c r="FA6" s="78">
        <v>26386</v>
      </c>
      <c r="FB6" s="78">
        <v>26386</v>
      </c>
      <c r="FC6" s="78">
        <v>26386</v>
      </c>
      <c r="FD6" s="78">
        <v>28836</v>
      </c>
      <c r="FE6" s="78">
        <v>28836</v>
      </c>
      <c r="FF6" s="78">
        <v>28836</v>
      </c>
      <c r="FG6" s="78">
        <v>28756</v>
      </c>
      <c r="FH6" s="78">
        <v>28756</v>
      </c>
      <c r="FI6" s="78">
        <v>28756</v>
      </c>
      <c r="FJ6" s="78">
        <v>28756</v>
      </c>
      <c r="FK6" s="78">
        <v>28756</v>
      </c>
      <c r="FL6" s="78">
        <v>30256</v>
      </c>
      <c r="FM6" s="78">
        <v>30256</v>
      </c>
      <c r="FN6" s="78">
        <v>30256</v>
      </c>
      <c r="FO6" s="78">
        <v>30756</v>
      </c>
      <c r="FP6" s="78">
        <v>30256</v>
      </c>
      <c r="FQ6" s="78">
        <v>30256</v>
      </c>
      <c r="FR6" s="78">
        <v>31831</v>
      </c>
      <c r="FS6" s="78">
        <v>31831</v>
      </c>
      <c r="FT6" s="78">
        <v>31831</v>
      </c>
      <c r="FU6" s="78">
        <v>31831</v>
      </c>
      <c r="FV6" s="78">
        <v>31831</v>
      </c>
      <c r="FW6" s="78">
        <v>31831</v>
      </c>
      <c r="FX6" s="78">
        <v>32411</v>
      </c>
      <c r="FY6" s="78">
        <v>32411</v>
      </c>
      <c r="FZ6" s="78">
        <v>32411</v>
      </c>
      <c r="GA6" s="78">
        <v>32411</v>
      </c>
      <c r="GB6" s="78">
        <v>32411</v>
      </c>
      <c r="GC6" s="78">
        <v>32411</v>
      </c>
      <c r="GD6" s="78">
        <v>32411</v>
      </c>
      <c r="GE6" s="78">
        <v>32411</v>
      </c>
      <c r="GF6" s="78">
        <v>32411</v>
      </c>
      <c r="GG6" s="78">
        <v>32411</v>
      </c>
      <c r="GH6" s="78">
        <v>32411</v>
      </c>
      <c r="GI6" s="78">
        <v>32411</v>
      </c>
      <c r="GJ6" s="78">
        <v>32411</v>
      </c>
      <c r="GK6" s="78">
        <v>32411</v>
      </c>
      <c r="GL6" s="78"/>
      <c r="GM6" s="78">
        <v>32411</v>
      </c>
      <c r="GN6" s="78">
        <v>29185</v>
      </c>
      <c r="GO6" s="78">
        <v>29185</v>
      </c>
      <c r="GP6" s="78">
        <v>29185</v>
      </c>
      <c r="GQ6" s="78">
        <f t="shared" ref="GQ6:JE6" si="6">29185-2770</f>
        <v>26415</v>
      </c>
      <c r="GR6" s="78">
        <f t="shared" si="6"/>
        <v>26415</v>
      </c>
      <c r="GS6" s="78">
        <f t="shared" si="6"/>
        <v>26415</v>
      </c>
      <c r="GT6" s="78">
        <f t="shared" si="6"/>
        <v>26415</v>
      </c>
      <c r="GU6" s="78">
        <f t="shared" si="6"/>
        <v>26415</v>
      </c>
      <c r="GV6" s="78">
        <f t="shared" si="6"/>
        <v>26415</v>
      </c>
      <c r="GW6" s="78">
        <f t="shared" si="6"/>
        <v>26415</v>
      </c>
      <c r="GX6" s="78">
        <f t="shared" si="6"/>
        <v>26415</v>
      </c>
      <c r="GY6" s="78">
        <f t="shared" si="6"/>
        <v>26415</v>
      </c>
      <c r="GZ6" s="78">
        <f t="shared" si="6"/>
        <v>26415</v>
      </c>
      <c r="HA6" s="78">
        <f t="shared" si="6"/>
        <v>26415</v>
      </c>
      <c r="HB6" s="78">
        <f t="shared" si="6"/>
        <v>26415</v>
      </c>
      <c r="HC6" s="78">
        <f t="shared" si="6"/>
        <v>26415</v>
      </c>
      <c r="HD6" s="78">
        <f t="shared" si="6"/>
        <v>26415</v>
      </c>
      <c r="HE6" s="78">
        <f t="shared" si="6"/>
        <v>26415</v>
      </c>
      <c r="HF6" s="78">
        <f t="shared" si="6"/>
        <v>26415</v>
      </c>
      <c r="HG6" s="78">
        <f t="shared" si="6"/>
        <v>26415</v>
      </c>
      <c r="HH6" s="78">
        <f t="shared" si="6"/>
        <v>26415</v>
      </c>
      <c r="HI6" s="78">
        <f t="shared" si="6"/>
        <v>26415</v>
      </c>
      <c r="HJ6" s="78">
        <f t="shared" si="6"/>
        <v>26415</v>
      </c>
      <c r="HK6" s="78">
        <f t="shared" si="6"/>
        <v>26415</v>
      </c>
      <c r="HL6" s="78">
        <f t="shared" si="6"/>
        <v>26415</v>
      </c>
      <c r="HM6" s="78">
        <f t="shared" si="6"/>
        <v>26415</v>
      </c>
      <c r="HN6" s="78">
        <f t="shared" si="6"/>
        <v>26415</v>
      </c>
      <c r="HO6" s="78">
        <f t="shared" si="6"/>
        <v>26415</v>
      </c>
      <c r="HP6" s="78">
        <f t="shared" si="6"/>
        <v>26415</v>
      </c>
      <c r="HQ6" s="78">
        <f t="shared" si="6"/>
        <v>26415</v>
      </c>
      <c r="HR6" s="78">
        <f t="shared" si="6"/>
        <v>26415</v>
      </c>
      <c r="HS6" s="78">
        <f t="shared" si="6"/>
        <v>26415</v>
      </c>
      <c r="HT6" s="78">
        <f t="shared" si="6"/>
        <v>26415</v>
      </c>
      <c r="HU6" s="78">
        <f t="shared" si="6"/>
        <v>26415</v>
      </c>
      <c r="HV6" s="78">
        <f t="shared" si="6"/>
        <v>26415</v>
      </c>
      <c r="HW6" s="78">
        <f t="shared" si="6"/>
        <v>26415</v>
      </c>
      <c r="HX6" s="78">
        <f t="shared" si="6"/>
        <v>26415</v>
      </c>
      <c r="HY6" s="78">
        <f t="shared" si="6"/>
        <v>26415</v>
      </c>
      <c r="HZ6" s="78">
        <f t="shared" si="6"/>
        <v>26415</v>
      </c>
      <c r="IA6" s="78">
        <f t="shared" si="6"/>
        <v>26415</v>
      </c>
      <c r="IB6" s="78">
        <f t="shared" si="6"/>
        <v>26415</v>
      </c>
      <c r="IC6" s="78">
        <f t="shared" si="6"/>
        <v>26415</v>
      </c>
      <c r="ID6" s="78">
        <f t="shared" si="6"/>
        <v>26415</v>
      </c>
      <c r="IE6" s="78">
        <f t="shared" si="6"/>
        <v>26415</v>
      </c>
      <c r="IF6" s="78">
        <f t="shared" si="6"/>
        <v>26415</v>
      </c>
      <c r="IG6" s="78">
        <f t="shared" si="6"/>
        <v>26415</v>
      </c>
      <c r="IH6" s="78">
        <f t="shared" si="6"/>
        <v>26415</v>
      </c>
      <c r="II6" s="78">
        <f t="shared" si="6"/>
        <v>26415</v>
      </c>
      <c r="IJ6" s="78">
        <f t="shared" si="6"/>
        <v>26415</v>
      </c>
      <c r="IK6" s="78">
        <f t="shared" si="6"/>
        <v>26415</v>
      </c>
      <c r="IL6" s="78">
        <f t="shared" si="6"/>
        <v>26415</v>
      </c>
      <c r="IM6" s="78">
        <f t="shared" si="6"/>
        <v>26415</v>
      </c>
      <c r="IN6" s="78">
        <f t="shared" si="6"/>
        <v>26415</v>
      </c>
      <c r="IO6" s="78">
        <f t="shared" si="6"/>
        <v>26415</v>
      </c>
      <c r="IP6" s="78">
        <f t="shared" si="6"/>
        <v>26415</v>
      </c>
      <c r="IQ6" s="78">
        <f t="shared" si="6"/>
        <v>26415</v>
      </c>
      <c r="IR6" s="78">
        <f t="shared" si="6"/>
        <v>26415</v>
      </c>
      <c r="IS6" s="78">
        <f t="shared" si="6"/>
        <v>26415</v>
      </c>
      <c r="IT6" s="78">
        <f t="shared" si="6"/>
        <v>26415</v>
      </c>
      <c r="IU6" s="78">
        <f t="shared" si="6"/>
        <v>26415</v>
      </c>
      <c r="IV6" s="78">
        <f t="shared" si="6"/>
        <v>26415</v>
      </c>
      <c r="IW6" s="78">
        <f t="shared" si="6"/>
        <v>26415</v>
      </c>
      <c r="IX6" s="78">
        <f t="shared" si="6"/>
        <v>26415</v>
      </c>
      <c r="IY6" s="78">
        <f t="shared" si="6"/>
        <v>26415</v>
      </c>
      <c r="IZ6" s="78">
        <f t="shared" si="6"/>
        <v>26415</v>
      </c>
      <c r="JA6" s="78">
        <f t="shared" si="6"/>
        <v>26415</v>
      </c>
      <c r="JB6" s="78">
        <f t="shared" si="6"/>
        <v>26415</v>
      </c>
      <c r="JC6" s="78">
        <f t="shared" si="6"/>
        <v>26415</v>
      </c>
      <c r="JD6" s="78">
        <f t="shared" si="6"/>
        <v>26415</v>
      </c>
      <c r="JE6" s="78">
        <f t="shared" si="6"/>
        <v>26415</v>
      </c>
      <c r="JF6" s="78">
        <v>40844</v>
      </c>
      <c r="JG6" s="78">
        <v>40844</v>
      </c>
      <c r="JH6" s="78">
        <v>40844</v>
      </c>
      <c r="JI6" s="78">
        <v>40844</v>
      </c>
      <c r="JJ6" s="78">
        <v>40844</v>
      </c>
      <c r="JK6" s="78">
        <v>40844</v>
      </c>
      <c r="JL6" s="78">
        <v>40844</v>
      </c>
      <c r="JM6" s="78">
        <v>40844</v>
      </c>
      <c r="JN6" s="78">
        <v>40844</v>
      </c>
      <c r="JO6" s="78">
        <v>40844</v>
      </c>
      <c r="JP6" s="78">
        <v>40844</v>
      </c>
      <c r="JQ6" s="78">
        <v>40844</v>
      </c>
      <c r="JR6" s="78">
        <v>40844</v>
      </c>
      <c r="JS6" s="78">
        <v>40844</v>
      </c>
      <c r="JT6" s="78">
        <v>40844</v>
      </c>
      <c r="JU6" s="78">
        <v>40844</v>
      </c>
      <c r="JV6" s="78">
        <v>40844</v>
      </c>
      <c r="JW6" s="104">
        <v>40844</v>
      </c>
      <c r="JX6" s="475"/>
      <c r="JY6" s="107" t="s">
        <v>121</v>
      </c>
      <c r="JZ6" s="85" t="s">
        <v>122</v>
      </c>
      <c r="KA6" s="106"/>
      <c r="KB6" s="109" t="s">
        <v>118</v>
      </c>
      <c r="KC6" s="78">
        <v>1890</v>
      </c>
      <c r="KD6" s="78">
        <f>1903-12</f>
        <v>1891</v>
      </c>
      <c r="KE6" s="78">
        <f>1930-12.6</f>
        <v>1917.4</v>
      </c>
      <c r="KF6" s="78">
        <f>1930-12.6</f>
        <v>1917.4</v>
      </c>
      <c r="KG6" s="78">
        <f>2122-12.6</f>
        <v>2109.4</v>
      </c>
      <c r="KH6" s="78">
        <f>2219-12.6</f>
        <v>2206.4</v>
      </c>
      <c r="KI6" s="78">
        <f>2187-12.6</f>
        <v>2174.4</v>
      </c>
      <c r="KJ6" s="78">
        <f>2289-12.6</f>
        <v>2276.4</v>
      </c>
      <c r="KK6" s="123"/>
      <c r="KL6" s="82" t="s">
        <v>123</v>
      </c>
      <c r="KM6" s="7">
        <v>7191</v>
      </c>
      <c r="KN6" s="7">
        <v>6723</v>
      </c>
      <c r="KO6" s="7">
        <v>6494</v>
      </c>
      <c r="KP6" s="7">
        <v>6675</v>
      </c>
      <c r="KQ6" s="7">
        <v>6861</v>
      </c>
      <c r="KR6" s="7">
        <v>6847</v>
      </c>
      <c r="KS6" s="7">
        <v>6846</v>
      </c>
      <c r="KT6" s="7">
        <v>6846</v>
      </c>
      <c r="KU6" s="7">
        <v>6744</v>
      </c>
      <c r="KV6" s="7">
        <v>6878</v>
      </c>
      <c r="KW6" s="7">
        <v>6835</v>
      </c>
      <c r="KX6" s="7">
        <v>6835</v>
      </c>
      <c r="KY6" s="7">
        <v>6587</v>
      </c>
      <c r="KZ6" s="7">
        <v>6576</v>
      </c>
      <c r="LA6" s="7">
        <v>6576</v>
      </c>
      <c r="LB6" s="7">
        <v>6591</v>
      </c>
      <c r="LC6" s="7">
        <v>6313</v>
      </c>
      <c r="LD6" s="7">
        <v>6615</v>
      </c>
      <c r="LE6" s="7">
        <v>6892</v>
      </c>
      <c r="LF6" s="7">
        <v>6578</v>
      </c>
      <c r="LG6" s="7">
        <v>6400</v>
      </c>
      <c r="LH6" s="7">
        <v>6457</v>
      </c>
      <c r="LI6" s="7">
        <v>6008</v>
      </c>
      <c r="LJ6" s="7">
        <v>6367</v>
      </c>
      <c r="LK6" s="7">
        <v>6376</v>
      </c>
      <c r="LL6" s="7">
        <v>6173</v>
      </c>
      <c r="LM6" s="7">
        <v>5849</v>
      </c>
      <c r="LN6" s="7">
        <v>6499</v>
      </c>
      <c r="LO6" s="7">
        <v>6600</v>
      </c>
      <c r="LP6" s="7">
        <v>6600</v>
      </c>
      <c r="LQ6" s="7">
        <v>6550</v>
      </c>
      <c r="LR6" s="7">
        <v>6507</v>
      </c>
      <c r="LS6" s="7">
        <v>6413</v>
      </c>
      <c r="LT6" s="7">
        <v>6413</v>
      </c>
      <c r="LU6" s="7">
        <v>6908</v>
      </c>
      <c r="LV6" s="7">
        <v>7254</v>
      </c>
      <c r="LW6" s="7">
        <v>7254</v>
      </c>
      <c r="LX6" s="7">
        <v>7432</v>
      </c>
      <c r="LY6" s="7">
        <v>7163</v>
      </c>
      <c r="LZ6" s="7">
        <v>7163</v>
      </c>
      <c r="MA6" s="7">
        <v>7288</v>
      </c>
      <c r="MB6" s="7">
        <v>7288</v>
      </c>
      <c r="MC6" s="7">
        <v>7431</v>
      </c>
      <c r="MD6" s="7">
        <v>7427</v>
      </c>
      <c r="ME6" s="7">
        <v>7207</v>
      </c>
      <c r="MF6" s="7">
        <v>7207</v>
      </c>
      <c r="MG6" s="7">
        <v>7207</v>
      </c>
      <c r="MH6" s="7">
        <v>7514</v>
      </c>
      <c r="MI6" s="7">
        <v>7354</v>
      </c>
      <c r="MJ6" s="7">
        <v>7697</v>
      </c>
      <c r="MK6" s="7">
        <v>7697</v>
      </c>
      <c r="ML6" s="7">
        <v>7506</v>
      </c>
      <c r="MM6" s="7">
        <v>8243</v>
      </c>
      <c r="MN6" s="7">
        <v>8291</v>
      </c>
      <c r="MO6" s="7">
        <v>8019</v>
      </c>
      <c r="MP6" s="7">
        <v>8096</v>
      </c>
      <c r="MQ6" s="7">
        <v>8011</v>
      </c>
      <c r="MR6" s="7">
        <v>8107</v>
      </c>
      <c r="MS6" s="7">
        <v>7874</v>
      </c>
      <c r="MT6" s="7">
        <v>7934</v>
      </c>
      <c r="MU6" s="7">
        <v>8078</v>
      </c>
      <c r="MV6" s="7">
        <v>8090</v>
      </c>
      <c r="MW6" s="7">
        <v>8090</v>
      </c>
      <c r="MX6" s="7">
        <v>7873</v>
      </c>
      <c r="MY6" s="7">
        <v>8021</v>
      </c>
      <c r="MZ6" s="7">
        <v>7777</v>
      </c>
      <c r="NA6" s="7">
        <v>7691</v>
      </c>
      <c r="NB6" s="7">
        <v>7526</v>
      </c>
      <c r="NC6" s="7">
        <v>7284</v>
      </c>
      <c r="ND6" s="7">
        <v>7508</v>
      </c>
      <c r="NE6" s="7">
        <v>7486</v>
      </c>
      <c r="NF6" s="7">
        <v>7483</v>
      </c>
      <c r="NG6" s="7">
        <v>7483</v>
      </c>
      <c r="NH6" s="7">
        <v>7820</v>
      </c>
      <c r="NI6" s="7">
        <v>8106</v>
      </c>
      <c r="NJ6" s="7">
        <v>8111</v>
      </c>
      <c r="NK6" s="7">
        <v>8081</v>
      </c>
      <c r="NL6" s="7">
        <v>7857</v>
      </c>
      <c r="NM6" s="7">
        <v>7657</v>
      </c>
      <c r="NN6" s="7">
        <v>7493</v>
      </c>
      <c r="NO6" s="7">
        <v>7588</v>
      </c>
      <c r="NP6" s="7">
        <v>7588</v>
      </c>
      <c r="NQ6" s="7">
        <v>7396</v>
      </c>
      <c r="NR6" s="7">
        <v>7268</v>
      </c>
      <c r="NS6" s="7">
        <v>7435</v>
      </c>
      <c r="NT6" s="7">
        <v>7538</v>
      </c>
      <c r="NU6" s="7">
        <v>7538</v>
      </c>
      <c r="NV6" s="7">
        <v>7349</v>
      </c>
      <c r="NW6" s="7">
        <v>7341</v>
      </c>
      <c r="NX6" s="7">
        <v>7609</v>
      </c>
      <c r="NY6" s="7">
        <v>7790</v>
      </c>
      <c r="NZ6" s="7">
        <v>7602</v>
      </c>
      <c r="OA6" s="7">
        <v>7602</v>
      </c>
      <c r="OB6" s="7">
        <v>8115</v>
      </c>
      <c r="OC6" s="7">
        <v>8102</v>
      </c>
      <c r="OD6" s="7">
        <v>8156</v>
      </c>
      <c r="OE6" s="7">
        <v>8035</v>
      </c>
      <c r="OF6" s="7">
        <v>7905</v>
      </c>
      <c r="OG6" s="7">
        <v>8118</v>
      </c>
      <c r="OH6" s="7">
        <v>8140</v>
      </c>
      <c r="OI6" s="7">
        <v>8140</v>
      </c>
      <c r="OJ6" s="7">
        <v>8140</v>
      </c>
      <c r="OK6" s="7">
        <v>8273</v>
      </c>
      <c r="OL6" s="7">
        <v>8094</v>
      </c>
      <c r="OM6" s="7">
        <v>8104</v>
      </c>
      <c r="ON6" s="7">
        <v>8114</v>
      </c>
      <c r="OO6" s="7">
        <v>8066</v>
      </c>
      <c r="OP6" s="7">
        <v>8131</v>
      </c>
      <c r="OQ6" s="7">
        <v>8131</v>
      </c>
      <c r="OR6" s="7">
        <v>8397</v>
      </c>
      <c r="OS6" s="7">
        <v>8156</v>
      </c>
      <c r="OT6" s="7">
        <v>8146</v>
      </c>
      <c r="OU6" s="7">
        <v>8077</v>
      </c>
      <c r="OV6" s="7">
        <v>8077</v>
      </c>
      <c r="OW6" s="7">
        <v>8077</v>
      </c>
      <c r="OX6" s="7">
        <v>8077</v>
      </c>
      <c r="OY6" s="7">
        <v>8077</v>
      </c>
      <c r="OZ6" s="7">
        <v>8077</v>
      </c>
      <c r="PA6" s="7">
        <v>8077</v>
      </c>
      <c r="PB6" s="7">
        <v>8077</v>
      </c>
      <c r="PC6" s="7">
        <v>8077</v>
      </c>
      <c r="PD6" s="7">
        <v>8077</v>
      </c>
      <c r="PE6" s="7">
        <v>8077</v>
      </c>
      <c r="PF6" s="7">
        <v>8077</v>
      </c>
      <c r="PG6" s="7">
        <v>8077</v>
      </c>
      <c r="PH6" s="7">
        <v>8077</v>
      </c>
      <c r="PI6" s="7">
        <v>8077</v>
      </c>
      <c r="PJ6" s="7">
        <v>8077</v>
      </c>
      <c r="PK6" s="7">
        <v>8077</v>
      </c>
      <c r="PL6" s="7">
        <v>8077</v>
      </c>
      <c r="PM6" s="7">
        <v>8077</v>
      </c>
      <c r="PN6" s="7">
        <v>8077</v>
      </c>
      <c r="PO6" s="7">
        <v>8077</v>
      </c>
      <c r="PP6" s="7">
        <v>8077</v>
      </c>
      <c r="PQ6" s="7">
        <v>8077</v>
      </c>
      <c r="PR6" s="7">
        <v>8077</v>
      </c>
      <c r="PS6" s="7">
        <v>8077</v>
      </c>
      <c r="PT6" s="7">
        <v>8077</v>
      </c>
      <c r="PU6" s="7">
        <v>8077</v>
      </c>
      <c r="PV6" s="7">
        <v>8077</v>
      </c>
      <c r="PW6" s="7">
        <v>8077</v>
      </c>
      <c r="PX6" s="7">
        <v>8077</v>
      </c>
      <c r="PY6" s="7">
        <v>8077</v>
      </c>
      <c r="PZ6" s="7">
        <v>8077</v>
      </c>
      <c r="QA6" s="7">
        <v>8077</v>
      </c>
      <c r="QB6" s="7">
        <v>8077</v>
      </c>
      <c r="QC6" s="7">
        <v>8077</v>
      </c>
      <c r="QD6" s="7">
        <v>8077</v>
      </c>
      <c r="QE6" s="7">
        <v>8077</v>
      </c>
      <c r="QF6" s="7">
        <v>8077</v>
      </c>
      <c r="QG6" s="7">
        <v>8077</v>
      </c>
      <c r="QH6" s="7">
        <v>8077</v>
      </c>
      <c r="QI6" s="7">
        <v>8077</v>
      </c>
      <c r="QJ6" s="7">
        <v>8077</v>
      </c>
      <c r="QK6" s="7">
        <v>8077</v>
      </c>
      <c r="QL6" s="7">
        <v>8077</v>
      </c>
      <c r="QM6" s="7">
        <v>8077</v>
      </c>
      <c r="QN6" s="7">
        <v>8077</v>
      </c>
      <c r="QO6" s="7">
        <v>8077</v>
      </c>
      <c r="QP6" s="7">
        <v>8077</v>
      </c>
      <c r="QQ6" s="7">
        <v>8077</v>
      </c>
      <c r="QR6" s="7">
        <v>8077</v>
      </c>
      <c r="QS6" s="7">
        <v>8077</v>
      </c>
      <c r="QT6" s="7">
        <v>8077</v>
      </c>
      <c r="QU6" s="7">
        <v>8077</v>
      </c>
      <c r="QV6" s="7">
        <v>8077</v>
      </c>
      <c r="QW6" s="7">
        <v>8077</v>
      </c>
      <c r="QX6" s="7">
        <v>8077</v>
      </c>
      <c r="QY6" s="7">
        <v>8077</v>
      </c>
      <c r="QZ6" s="7">
        <v>8077</v>
      </c>
      <c r="RA6" s="7">
        <v>8077</v>
      </c>
      <c r="RB6" s="7">
        <v>8077</v>
      </c>
      <c r="RC6" s="7">
        <v>8077</v>
      </c>
      <c r="RD6" s="7">
        <v>8077</v>
      </c>
      <c r="RE6" s="7">
        <v>8077</v>
      </c>
      <c r="RF6" s="7">
        <v>8077</v>
      </c>
      <c r="RG6" s="7">
        <v>8077</v>
      </c>
      <c r="RH6" s="7">
        <v>8077</v>
      </c>
      <c r="RI6" s="7">
        <v>8077</v>
      </c>
      <c r="RJ6" s="7">
        <v>8077</v>
      </c>
      <c r="RK6" s="7">
        <v>8077</v>
      </c>
      <c r="RL6" s="7">
        <v>8077</v>
      </c>
      <c r="RM6" s="7">
        <v>8077</v>
      </c>
      <c r="RN6" s="7">
        <v>8077</v>
      </c>
      <c r="RO6" s="7">
        <v>8077</v>
      </c>
      <c r="RP6" s="7">
        <v>8077</v>
      </c>
      <c r="RQ6" s="7">
        <v>8077</v>
      </c>
      <c r="RR6" s="7">
        <v>8077</v>
      </c>
      <c r="RS6" s="7">
        <v>8077</v>
      </c>
      <c r="RT6" s="7">
        <v>8077</v>
      </c>
      <c r="RU6" s="7">
        <v>8077</v>
      </c>
      <c r="RV6" s="7">
        <v>8077</v>
      </c>
      <c r="RW6" s="7">
        <v>8077</v>
      </c>
      <c r="RX6" s="7">
        <v>8077</v>
      </c>
      <c r="RY6" s="7">
        <v>8077</v>
      </c>
      <c r="RZ6" s="7">
        <v>8077</v>
      </c>
      <c r="SA6" s="7">
        <v>8077</v>
      </c>
      <c r="SB6" s="7">
        <v>8077</v>
      </c>
      <c r="SC6" s="7">
        <v>8077</v>
      </c>
      <c r="SD6" s="7">
        <v>8077</v>
      </c>
      <c r="SE6" s="7">
        <v>8077</v>
      </c>
      <c r="SF6" s="7">
        <v>8077</v>
      </c>
      <c r="SG6" s="7">
        <v>8077</v>
      </c>
      <c r="SH6" s="7">
        <v>8077</v>
      </c>
      <c r="SI6" s="7">
        <v>8077</v>
      </c>
      <c r="SJ6" s="7">
        <v>8077</v>
      </c>
      <c r="SK6" s="7">
        <v>8077</v>
      </c>
      <c r="SL6" s="7">
        <v>8077</v>
      </c>
      <c r="SM6" s="10">
        <v>8077</v>
      </c>
      <c r="SN6" s="10">
        <v>8077</v>
      </c>
      <c r="SO6" s="10">
        <v>8077</v>
      </c>
      <c r="SP6" s="10">
        <v>8077</v>
      </c>
      <c r="SQ6" s="10">
        <v>8077</v>
      </c>
      <c r="SR6" s="10">
        <v>8077</v>
      </c>
      <c r="SS6" s="10">
        <v>8077</v>
      </c>
      <c r="ST6" s="10">
        <v>8077</v>
      </c>
      <c r="SU6" s="10">
        <v>8077</v>
      </c>
      <c r="SV6" s="10">
        <v>8077</v>
      </c>
      <c r="SW6" s="10">
        <v>8077</v>
      </c>
      <c r="SX6" s="10">
        <v>8420</v>
      </c>
      <c r="SY6" s="10">
        <v>8231</v>
      </c>
      <c r="SZ6" s="10">
        <v>8469</v>
      </c>
      <c r="TA6" s="10">
        <v>8315</v>
      </c>
      <c r="TB6" s="10">
        <v>8211</v>
      </c>
      <c r="TC6" s="10">
        <v>8911</v>
      </c>
      <c r="TD6" s="10">
        <v>8526</v>
      </c>
      <c r="TE6" s="10">
        <v>8869</v>
      </c>
      <c r="TF6" s="10">
        <v>8860</v>
      </c>
      <c r="TG6" s="10">
        <v>9678</v>
      </c>
      <c r="TH6" s="10">
        <v>9165</v>
      </c>
      <c r="TI6" s="10">
        <v>9076</v>
      </c>
      <c r="TJ6" s="10">
        <v>9136</v>
      </c>
      <c r="TK6" s="10">
        <v>8982</v>
      </c>
      <c r="TL6" s="10">
        <v>9196</v>
      </c>
      <c r="TM6" s="10">
        <v>9222</v>
      </c>
      <c r="TN6" s="10">
        <v>9382</v>
      </c>
      <c r="TO6" s="10">
        <v>9663</v>
      </c>
      <c r="TP6" s="10">
        <v>9730</v>
      </c>
      <c r="TQ6" s="10">
        <v>10283</v>
      </c>
      <c r="TR6" s="10">
        <v>10178</v>
      </c>
      <c r="TS6" s="10">
        <v>10072</v>
      </c>
      <c r="TT6" s="10">
        <v>10009</v>
      </c>
      <c r="TU6" s="10">
        <v>10111</v>
      </c>
      <c r="TV6" s="10">
        <v>10110</v>
      </c>
      <c r="TW6" s="10">
        <v>9954</v>
      </c>
      <c r="TX6" s="10">
        <v>9835</v>
      </c>
      <c r="TY6" s="10">
        <v>10153</v>
      </c>
      <c r="TZ6" s="10">
        <v>9925</v>
      </c>
      <c r="UA6" s="10">
        <v>9883</v>
      </c>
      <c r="UB6" s="10">
        <v>10066</v>
      </c>
      <c r="UC6" s="10">
        <v>9921</v>
      </c>
      <c r="UD6" s="10">
        <v>9247</v>
      </c>
      <c r="UE6" s="10">
        <v>9247</v>
      </c>
      <c r="UF6" s="10">
        <v>9316</v>
      </c>
      <c r="UG6" s="10">
        <v>9086</v>
      </c>
      <c r="UH6" s="10">
        <v>9019</v>
      </c>
      <c r="UI6" s="10">
        <v>9186</v>
      </c>
      <c r="UJ6" s="10">
        <v>9265</v>
      </c>
      <c r="UK6" s="10">
        <v>9397</v>
      </c>
      <c r="UL6" s="10">
        <v>9189</v>
      </c>
      <c r="UM6" s="10">
        <v>9130</v>
      </c>
      <c r="UN6" s="10">
        <v>9156</v>
      </c>
      <c r="UO6" s="10">
        <v>9093</v>
      </c>
      <c r="UP6" s="10">
        <v>9322</v>
      </c>
      <c r="UQ6" s="10">
        <v>9104</v>
      </c>
      <c r="UR6" s="10">
        <v>8937</v>
      </c>
      <c r="US6" s="10">
        <v>9621</v>
      </c>
      <c r="UT6" s="10">
        <v>9893</v>
      </c>
      <c r="UU6" s="10">
        <v>9686</v>
      </c>
      <c r="UV6" s="10">
        <v>9616</v>
      </c>
      <c r="UW6" s="10">
        <v>9623</v>
      </c>
      <c r="UX6" s="10">
        <v>9415</v>
      </c>
      <c r="UY6" s="10">
        <v>9274</v>
      </c>
      <c r="UZ6" s="10">
        <v>9242</v>
      </c>
      <c r="VA6" s="10">
        <v>9242</v>
      </c>
      <c r="VB6" s="10">
        <v>9639</v>
      </c>
      <c r="VC6" s="10">
        <v>9729</v>
      </c>
      <c r="VD6" s="10">
        <v>10031</v>
      </c>
      <c r="VE6" s="10">
        <v>9573</v>
      </c>
      <c r="VF6" s="10">
        <v>9445</v>
      </c>
      <c r="VG6" s="10">
        <v>9516</v>
      </c>
      <c r="VH6" s="10">
        <v>9668</v>
      </c>
      <c r="VI6" s="10">
        <v>9404</v>
      </c>
      <c r="VJ6" s="10">
        <v>9127</v>
      </c>
      <c r="VK6" s="10">
        <v>9285</v>
      </c>
      <c r="VL6" s="10">
        <v>9926</v>
      </c>
      <c r="VM6" s="10">
        <v>9516</v>
      </c>
      <c r="VN6" s="10">
        <v>9339</v>
      </c>
      <c r="VO6" s="10">
        <v>9302</v>
      </c>
      <c r="VP6" s="10">
        <v>9477</v>
      </c>
      <c r="VQ6" s="10">
        <v>9720</v>
      </c>
      <c r="VR6" s="10">
        <v>9879</v>
      </c>
      <c r="VS6" s="10">
        <v>9351</v>
      </c>
      <c r="VT6" s="10">
        <v>8828</v>
      </c>
      <c r="VU6" s="10">
        <v>8750</v>
      </c>
      <c r="VV6" s="10">
        <v>8644</v>
      </c>
      <c r="VW6" s="10">
        <v>8466</v>
      </c>
      <c r="VX6" s="10">
        <v>8554</v>
      </c>
      <c r="VY6" s="10">
        <v>8655</v>
      </c>
      <c r="VZ6" s="10">
        <v>8927</v>
      </c>
      <c r="WA6" s="10">
        <v>9115</v>
      </c>
      <c r="WB6" s="10">
        <v>8857</v>
      </c>
      <c r="WC6" s="10">
        <v>8697</v>
      </c>
      <c r="WD6" s="10">
        <v>8693</v>
      </c>
      <c r="WE6" s="10">
        <v>8203</v>
      </c>
      <c r="WF6" s="10">
        <v>8008</v>
      </c>
      <c r="WG6" s="10">
        <v>7565</v>
      </c>
      <c r="WH6" s="10">
        <v>7955</v>
      </c>
      <c r="WI6" s="10">
        <v>8225</v>
      </c>
      <c r="WJ6" s="10">
        <v>8433</v>
      </c>
      <c r="WK6" s="10">
        <v>8633</v>
      </c>
      <c r="WL6" s="10">
        <v>8903</v>
      </c>
      <c r="WM6" s="10">
        <v>8249</v>
      </c>
      <c r="WN6" s="10">
        <v>8709</v>
      </c>
      <c r="WO6" s="10">
        <v>8233</v>
      </c>
      <c r="WP6" s="10">
        <v>7808</v>
      </c>
      <c r="WQ6" s="10">
        <v>7350</v>
      </c>
      <c r="WR6" s="10">
        <v>7142</v>
      </c>
      <c r="WS6" s="10">
        <v>7209</v>
      </c>
      <c r="WT6" s="10">
        <v>7398</v>
      </c>
      <c r="WU6" s="10">
        <v>7409</v>
      </c>
      <c r="WV6" s="10">
        <v>7280</v>
      </c>
      <c r="WW6" s="10">
        <v>7096</v>
      </c>
      <c r="WX6" s="10">
        <v>7611</v>
      </c>
      <c r="WY6" s="10">
        <v>8388</v>
      </c>
      <c r="WZ6" s="10">
        <v>7963</v>
      </c>
      <c r="XA6" s="10">
        <v>8064</v>
      </c>
      <c r="XB6" s="10">
        <v>8051</v>
      </c>
      <c r="XC6" s="10">
        <v>8313</v>
      </c>
      <c r="XD6" s="10">
        <v>8313</v>
      </c>
      <c r="XE6" s="10">
        <v>8665</v>
      </c>
      <c r="XF6" s="10">
        <v>9855</v>
      </c>
      <c r="XG6" s="10">
        <v>9392</v>
      </c>
      <c r="XH6" s="10">
        <v>9134</v>
      </c>
      <c r="XI6" s="10">
        <v>8879</v>
      </c>
      <c r="XJ6" s="10">
        <v>8806</v>
      </c>
      <c r="XK6" s="10">
        <v>9299</v>
      </c>
      <c r="XL6" s="10">
        <v>9086</v>
      </c>
      <c r="XM6" s="10">
        <v>9180</v>
      </c>
      <c r="XN6" s="10">
        <v>9063</v>
      </c>
      <c r="XO6" s="10">
        <v>8908</v>
      </c>
      <c r="XP6" s="10">
        <v>8653</v>
      </c>
      <c r="XQ6" s="10">
        <v>8653</v>
      </c>
      <c r="XR6" s="10">
        <v>8852</v>
      </c>
      <c r="XS6" s="10">
        <v>9237</v>
      </c>
      <c r="XT6" s="10">
        <v>9237</v>
      </c>
      <c r="XU6" s="10">
        <v>8977</v>
      </c>
      <c r="XV6" s="10">
        <v>8776</v>
      </c>
      <c r="XW6" s="10">
        <v>8776</v>
      </c>
      <c r="XX6" s="10">
        <v>8725</v>
      </c>
      <c r="XY6" s="10">
        <v>9121</v>
      </c>
      <c r="XZ6" s="10">
        <v>9121</v>
      </c>
      <c r="YA6" s="10">
        <v>9121</v>
      </c>
      <c r="YB6" s="10">
        <v>9029</v>
      </c>
      <c r="YC6" s="10">
        <v>8658</v>
      </c>
      <c r="YD6" s="10">
        <v>8658</v>
      </c>
      <c r="YE6" s="10">
        <v>8844</v>
      </c>
      <c r="YF6" s="10">
        <v>8742</v>
      </c>
      <c r="YG6" s="10">
        <v>8656</v>
      </c>
      <c r="YH6" s="10">
        <v>8656</v>
      </c>
      <c r="YI6" s="10">
        <v>8715</v>
      </c>
      <c r="YJ6" s="10">
        <v>8601</v>
      </c>
      <c r="YK6" s="10">
        <v>8459</v>
      </c>
      <c r="YL6" s="10">
        <v>8447</v>
      </c>
      <c r="YM6" s="10">
        <v>8488</v>
      </c>
      <c r="YN6" s="10">
        <v>8475</v>
      </c>
      <c r="YO6" s="10">
        <v>8371</v>
      </c>
      <c r="YP6" s="10">
        <v>7774</v>
      </c>
      <c r="YQ6" s="10">
        <v>7774</v>
      </c>
      <c r="YR6" s="10">
        <v>7774</v>
      </c>
      <c r="YS6" s="10">
        <v>7774</v>
      </c>
      <c r="YT6" s="10">
        <v>7774</v>
      </c>
      <c r="YU6" s="10">
        <v>7774</v>
      </c>
      <c r="YV6" s="10">
        <v>8586</v>
      </c>
      <c r="YW6" s="10">
        <v>8406</v>
      </c>
      <c r="YX6" s="10">
        <v>8301</v>
      </c>
      <c r="YY6" s="10">
        <v>8301</v>
      </c>
      <c r="YZ6" s="10">
        <v>8667</v>
      </c>
      <c r="ZA6" s="10">
        <v>8834</v>
      </c>
      <c r="ZB6" s="10">
        <v>8629</v>
      </c>
      <c r="ZC6" s="10">
        <v>8555</v>
      </c>
      <c r="ZD6" s="10">
        <v>8572</v>
      </c>
      <c r="ZE6" s="10">
        <v>8364</v>
      </c>
      <c r="ZF6" s="10">
        <v>9224</v>
      </c>
      <c r="ZG6" s="10">
        <v>9491</v>
      </c>
      <c r="ZH6" s="10">
        <v>9466</v>
      </c>
      <c r="ZI6" s="10">
        <v>9466</v>
      </c>
      <c r="ZJ6" s="10">
        <v>9245</v>
      </c>
      <c r="ZK6" s="10">
        <v>9157</v>
      </c>
      <c r="ZL6" s="10">
        <v>8978</v>
      </c>
      <c r="ZM6" s="10">
        <v>8739</v>
      </c>
      <c r="ZN6" s="10">
        <v>8895</v>
      </c>
      <c r="ZO6" s="10">
        <v>9329</v>
      </c>
      <c r="ZP6" s="10">
        <v>8889</v>
      </c>
      <c r="ZQ6" s="10">
        <v>8456</v>
      </c>
      <c r="ZR6" s="10">
        <v>8364</v>
      </c>
      <c r="ZS6" s="10">
        <v>8364</v>
      </c>
      <c r="ZT6" s="10">
        <v>8364</v>
      </c>
      <c r="ZU6" s="10">
        <v>8364</v>
      </c>
      <c r="ZV6" s="10">
        <v>8364</v>
      </c>
      <c r="ZW6" s="10">
        <v>8364</v>
      </c>
      <c r="ZX6" s="10">
        <v>8257</v>
      </c>
      <c r="ZY6" s="10">
        <v>8743</v>
      </c>
      <c r="ZZ6" s="10">
        <v>8743</v>
      </c>
      <c r="AAA6" s="10">
        <v>8408</v>
      </c>
      <c r="AAB6" s="10">
        <v>8302</v>
      </c>
      <c r="AAC6" s="10">
        <v>8084</v>
      </c>
      <c r="AAD6" s="10">
        <v>7936</v>
      </c>
      <c r="AAE6" s="10">
        <v>8069</v>
      </c>
      <c r="AAF6" s="10">
        <v>8069</v>
      </c>
      <c r="AAG6" s="10">
        <v>8686</v>
      </c>
      <c r="AAH6" s="10">
        <v>8333</v>
      </c>
      <c r="AAI6" s="10">
        <v>8272</v>
      </c>
      <c r="AAJ6" s="10">
        <v>8731</v>
      </c>
      <c r="AAK6" s="10">
        <v>8766</v>
      </c>
      <c r="AAL6" s="10">
        <v>8815</v>
      </c>
      <c r="AAM6" s="10">
        <v>8690</v>
      </c>
      <c r="AAN6" s="10">
        <v>8690</v>
      </c>
      <c r="AAO6" s="10">
        <v>8795</v>
      </c>
      <c r="AAP6" s="10">
        <v>8524</v>
      </c>
      <c r="AAQ6" s="10">
        <v>8208</v>
      </c>
      <c r="AAR6" s="10">
        <v>8208</v>
      </c>
      <c r="AAS6" s="10">
        <v>8499</v>
      </c>
      <c r="AAT6" s="10">
        <v>8251</v>
      </c>
      <c r="AAU6" s="10">
        <v>8039</v>
      </c>
      <c r="AAV6" s="10">
        <v>7795</v>
      </c>
      <c r="AAW6" s="10">
        <v>7795</v>
      </c>
      <c r="AAX6" s="10">
        <v>7588</v>
      </c>
      <c r="AAY6" s="10">
        <v>7505</v>
      </c>
      <c r="AAZ6" s="10">
        <v>7621</v>
      </c>
      <c r="ABA6" s="10">
        <v>7412</v>
      </c>
      <c r="ABB6" s="10">
        <v>7600</v>
      </c>
      <c r="ABC6" s="10">
        <v>7716</v>
      </c>
      <c r="ABD6" s="10">
        <v>7716</v>
      </c>
      <c r="ABE6" s="10">
        <v>7716</v>
      </c>
      <c r="ABF6" s="10">
        <v>7716</v>
      </c>
      <c r="ABG6" s="10">
        <v>7716</v>
      </c>
      <c r="ABH6" s="10">
        <v>7168</v>
      </c>
      <c r="ABI6" s="10">
        <v>7168</v>
      </c>
      <c r="ABJ6" s="10">
        <v>7168</v>
      </c>
      <c r="ABK6" s="10">
        <v>7607</v>
      </c>
      <c r="ABL6" s="10">
        <v>7748</v>
      </c>
      <c r="ABM6" s="10">
        <v>7644</v>
      </c>
      <c r="ABN6" s="10">
        <v>7889</v>
      </c>
      <c r="ABO6" s="10">
        <v>7291</v>
      </c>
      <c r="ABP6" s="10">
        <v>7291</v>
      </c>
      <c r="ABQ6" s="10">
        <v>7291</v>
      </c>
      <c r="ABR6" s="10">
        <v>7291</v>
      </c>
      <c r="ABS6" s="10">
        <v>7291</v>
      </c>
      <c r="ABT6" s="10">
        <v>7291</v>
      </c>
      <c r="ABU6" s="10">
        <v>8095</v>
      </c>
      <c r="ABV6" s="10">
        <v>8148</v>
      </c>
      <c r="ABW6" s="10">
        <v>8369</v>
      </c>
      <c r="ABX6" s="10">
        <v>8692</v>
      </c>
      <c r="ABY6" s="10">
        <v>8802</v>
      </c>
      <c r="ABZ6" s="10">
        <v>8802</v>
      </c>
      <c r="ACA6" s="10">
        <v>8802</v>
      </c>
      <c r="ACB6" s="10">
        <v>8802</v>
      </c>
      <c r="ACC6" s="10">
        <v>8802</v>
      </c>
      <c r="ACD6" s="10">
        <v>8442</v>
      </c>
      <c r="ACE6" s="10">
        <v>8442</v>
      </c>
      <c r="ACF6" s="10">
        <v>8250</v>
      </c>
      <c r="ACG6" s="10">
        <v>8250</v>
      </c>
      <c r="ACH6" s="314">
        <v>8250</v>
      </c>
      <c r="ACI6" s="314">
        <v>8250</v>
      </c>
      <c r="ACJ6" s="314">
        <v>8250</v>
      </c>
      <c r="ACK6" s="314">
        <v>8250</v>
      </c>
      <c r="ACL6" s="316">
        <v>8250</v>
      </c>
      <c r="ACM6" s="314">
        <v>8250</v>
      </c>
      <c r="ACN6" s="314">
        <v>8250</v>
      </c>
      <c r="ACO6" s="314">
        <v>8250</v>
      </c>
      <c r="ACP6" s="314">
        <v>8250</v>
      </c>
      <c r="ACQ6" s="314">
        <v>8250</v>
      </c>
      <c r="ACR6" s="314">
        <v>9591</v>
      </c>
      <c r="ACS6" s="314">
        <v>9780</v>
      </c>
      <c r="ACT6" s="314">
        <v>9589</v>
      </c>
      <c r="ACU6" s="314">
        <v>9458</v>
      </c>
      <c r="ACV6" s="314">
        <v>8572</v>
      </c>
      <c r="ACW6" s="314">
        <v>8782</v>
      </c>
      <c r="ACX6" s="314">
        <v>8782</v>
      </c>
      <c r="ACY6" s="314">
        <v>8142.0919999999996</v>
      </c>
      <c r="ACZ6" s="314">
        <v>8144</v>
      </c>
      <c r="ADA6" s="314">
        <v>8120</v>
      </c>
      <c r="ADB6" s="314">
        <v>8120</v>
      </c>
      <c r="ADC6" s="314">
        <v>8528</v>
      </c>
      <c r="ADD6" s="314">
        <v>8119</v>
      </c>
      <c r="ADE6" s="314">
        <v>8871</v>
      </c>
      <c r="ADF6" s="314">
        <v>8871</v>
      </c>
      <c r="ADG6" s="314">
        <v>9309</v>
      </c>
      <c r="ADH6" s="314">
        <v>8484</v>
      </c>
      <c r="ADI6" s="314">
        <v>8277</v>
      </c>
      <c r="ADJ6" s="314">
        <v>8291</v>
      </c>
      <c r="ADK6" s="314">
        <v>7870</v>
      </c>
      <c r="ADL6" s="314">
        <v>7870</v>
      </c>
      <c r="ADM6" s="314">
        <v>7479</v>
      </c>
      <c r="ADN6" s="314">
        <v>7980</v>
      </c>
      <c r="ADO6" s="314">
        <v>8152</v>
      </c>
      <c r="ADP6" s="314">
        <v>8132</v>
      </c>
      <c r="ADQ6" s="314">
        <v>8899</v>
      </c>
      <c r="ADR6" s="314">
        <v>8868</v>
      </c>
      <c r="ADS6" s="314">
        <v>8654</v>
      </c>
      <c r="ADT6" s="328">
        <v>8749</v>
      </c>
      <c r="ADU6" s="329">
        <v>9298</v>
      </c>
      <c r="ADV6" s="329">
        <v>9668</v>
      </c>
      <c r="ADW6" s="329">
        <v>9407</v>
      </c>
      <c r="ADX6" s="329">
        <v>9155</v>
      </c>
      <c r="ADY6" s="329">
        <v>9155</v>
      </c>
      <c r="ADZ6" s="329">
        <v>9155</v>
      </c>
      <c r="AEA6" s="329">
        <v>9236</v>
      </c>
      <c r="AEB6" s="329">
        <v>9053</v>
      </c>
      <c r="AEC6" s="329">
        <v>8756</v>
      </c>
      <c r="AED6" s="329">
        <v>8849</v>
      </c>
      <c r="AEE6" s="329">
        <v>9185</v>
      </c>
      <c r="AEF6" s="329">
        <v>9452</v>
      </c>
      <c r="AEG6" s="329">
        <v>9186</v>
      </c>
      <c r="AEH6" s="329">
        <v>9453</v>
      </c>
      <c r="AEI6" s="329">
        <v>9269</v>
      </c>
      <c r="AEJ6" s="329">
        <v>9130</v>
      </c>
      <c r="AEK6" s="329">
        <v>9148</v>
      </c>
      <c r="AEL6" s="329">
        <v>9121</v>
      </c>
      <c r="AEM6" s="329">
        <v>9287</v>
      </c>
      <c r="AEN6" s="329">
        <v>9412</v>
      </c>
      <c r="AEO6" s="329">
        <v>9033</v>
      </c>
      <c r="AEP6" s="329">
        <v>9246</v>
      </c>
      <c r="AEQ6" s="329">
        <v>9178</v>
      </c>
      <c r="AER6" s="329">
        <v>9397</v>
      </c>
      <c r="AES6" s="329">
        <v>9253</v>
      </c>
      <c r="AET6" s="329">
        <v>9253</v>
      </c>
      <c r="AEU6" s="329">
        <v>9529</v>
      </c>
      <c r="AEV6" s="329">
        <v>9421</v>
      </c>
      <c r="AEW6" s="329">
        <v>9421</v>
      </c>
      <c r="AEX6" s="329">
        <v>9313</v>
      </c>
      <c r="AEY6" s="329">
        <v>8784</v>
      </c>
      <c r="AEZ6" s="329">
        <v>8768</v>
      </c>
      <c r="AFA6" s="329">
        <v>9672</v>
      </c>
      <c r="AFB6" s="329">
        <v>9624</v>
      </c>
      <c r="AFC6" s="329">
        <v>9539</v>
      </c>
      <c r="AFD6" s="329">
        <v>9330</v>
      </c>
      <c r="AFE6" s="329">
        <v>9109</v>
      </c>
      <c r="AFF6" s="329">
        <v>8879</v>
      </c>
      <c r="AFG6" s="329">
        <v>8865</v>
      </c>
      <c r="AFH6" s="329">
        <v>9195</v>
      </c>
      <c r="AFI6" s="329">
        <v>9153</v>
      </c>
      <c r="AFJ6" s="329">
        <v>8904</v>
      </c>
      <c r="AFK6" s="329">
        <v>8715</v>
      </c>
      <c r="AFL6" s="329">
        <v>8667</v>
      </c>
      <c r="AFM6" s="329">
        <v>8895</v>
      </c>
      <c r="AFN6" s="329">
        <v>8825</v>
      </c>
      <c r="AFO6" s="329">
        <v>8886</v>
      </c>
      <c r="AFP6" s="329">
        <v>9264</v>
      </c>
      <c r="AFQ6" s="329">
        <v>9135</v>
      </c>
      <c r="AFR6" s="329">
        <v>9448</v>
      </c>
      <c r="AFS6" s="329">
        <v>9663</v>
      </c>
      <c r="AFT6" s="329">
        <v>9486</v>
      </c>
      <c r="AFU6" s="329">
        <v>9310</v>
      </c>
      <c r="AFV6" s="329">
        <v>9281</v>
      </c>
      <c r="AFW6" s="329">
        <v>9386</v>
      </c>
      <c r="AFX6" s="329">
        <v>9230</v>
      </c>
      <c r="AFY6" s="329">
        <v>9393</v>
      </c>
      <c r="AFZ6" s="329">
        <v>9257</v>
      </c>
      <c r="AGA6" s="329">
        <v>9328</v>
      </c>
      <c r="AGB6" s="329">
        <v>9549</v>
      </c>
      <c r="AGC6" s="329">
        <v>9308</v>
      </c>
      <c r="AGD6" s="329">
        <v>9326</v>
      </c>
      <c r="AGE6" s="329">
        <v>9143</v>
      </c>
      <c r="AGF6" s="329">
        <v>9188</v>
      </c>
      <c r="AGG6" s="329">
        <v>9696</v>
      </c>
      <c r="AGH6" s="329">
        <v>9835</v>
      </c>
      <c r="AGI6" s="329">
        <v>9695</v>
      </c>
      <c r="AGJ6" s="329">
        <v>9316</v>
      </c>
      <c r="AGK6" s="329">
        <v>9833</v>
      </c>
      <c r="AGL6" s="329">
        <v>10063</v>
      </c>
      <c r="AGM6" s="329">
        <v>9870</v>
      </c>
      <c r="AGN6" s="329">
        <v>9800</v>
      </c>
      <c r="AGO6" s="329">
        <v>9495</v>
      </c>
      <c r="AGP6" s="329">
        <v>9297</v>
      </c>
      <c r="AGQ6" s="329">
        <v>9344</v>
      </c>
      <c r="AGR6" s="329">
        <v>9102</v>
      </c>
      <c r="AGS6" s="329">
        <v>9037</v>
      </c>
      <c r="AGT6" s="329">
        <v>9054</v>
      </c>
      <c r="AGU6" s="329">
        <v>9008</v>
      </c>
      <c r="AGV6" s="329">
        <v>9240</v>
      </c>
      <c r="AGW6" s="329">
        <v>9082</v>
      </c>
      <c r="AGX6" s="329">
        <v>8935</v>
      </c>
      <c r="AGY6" s="329">
        <v>9281</v>
      </c>
      <c r="AGZ6" s="329">
        <v>9379</v>
      </c>
      <c r="AHA6" s="329">
        <v>9125</v>
      </c>
      <c r="AHB6" s="329">
        <v>9178</v>
      </c>
      <c r="AHC6" s="329">
        <v>9276</v>
      </c>
      <c r="AHD6" s="329">
        <v>9206</v>
      </c>
      <c r="AHE6" s="329">
        <v>9175</v>
      </c>
      <c r="AHF6" s="329">
        <v>9150</v>
      </c>
      <c r="AHG6" s="382">
        <v>8952</v>
      </c>
      <c r="AHH6" s="329">
        <v>9204</v>
      </c>
      <c r="AHI6" s="329">
        <v>9336</v>
      </c>
      <c r="AHJ6" s="329">
        <v>9214</v>
      </c>
      <c r="AHK6" s="329">
        <v>9303</v>
      </c>
      <c r="AHL6" s="329">
        <v>9443</v>
      </c>
      <c r="AHM6" s="329">
        <v>9220</v>
      </c>
      <c r="AHN6" s="329">
        <v>9292</v>
      </c>
      <c r="AHO6" s="329">
        <v>9166</v>
      </c>
      <c r="AHP6" s="329">
        <v>9148</v>
      </c>
      <c r="AHQ6" s="329">
        <v>8936</v>
      </c>
      <c r="AHR6" s="329">
        <v>9040</v>
      </c>
      <c r="AHS6" s="390">
        <v>9168</v>
      </c>
      <c r="AHT6" s="390">
        <v>9168</v>
      </c>
      <c r="AHU6" s="390">
        <v>8546</v>
      </c>
      <c r="AHV6" s="390">
        <v>7920</v>
      </c>
      <c r="AHW6" s="390">
        <v>7842</v>
      </c>
      <c r="AHX6" s="390">
        <v>7825</v>
      </c>
      <c r="AHY6" s="390">
        <v>8804</v>
      </c>
      <c r="AHZ6" s="390">
        <v>9068</v>
      </c>
      <c r="AIA6" s="390">
        <v>9243</v>
      </c>
      <c r="AIB6" s="390">
        <v>9366</v>
      </c>
      <c r="AIC6" s="390">
        <v>9622</v>
      </c>
      <c r="AID6" s="390">
        <v>9739</v>
      </c>
      <c r="AIE6" s="390">
        <v>9794</v>
      </c>
      <c r="AIF6" s="390">
        <v>9585</v>
      </c>
      <c r="AIG6" s="390">
        <v>9585</v>
      </c>
      <c r="AIH6" s="390">
        <v>9272</v>
      </c>
      <c r="AIJ6" s="113" t="s">
        <v>66</v>
      </c>
      <c r="AIK6" s="10">
        <v>0</v>
      </c>
      <c r="AIL6" s="9">
        <f t="shared" si="5"/>
        <v>0</v>
      </c>
      <c r="AIM6" s="126">
        <f>IF((AIR6*0.93)-AIK6&lt;0,0,(AIR6*0.93)-AIK6)</f>
        <v>1581</v>
      </c>
      <c r="AIN6" s="48"/>
      <c r="AIO6" s="10">
        <f t="shared" ref="AIO6:AIO10" si="7">IF((AIR6*0.95-AIK6)&lt;0,0,(AIR6*0.95-AIK6))-AIN6</f>
        <v>1615</v>
      </c>
      <c r="AIP6" s="113" t="s">
        <v>66</v>
      </c>
      <c r="AIQ6" s="8" t="s">
        <v>47</v>
      </c>
      <c r="AIR6" s="78">
        <f>MASTER_DATA!E8</f>
        <v>1700</v>
      </c>
      <c r="AIS6" s="78">
        <f>MASTER_DATA!F8</f>
        <v>0</v>
      </c>
      <c r="AIT6" t="s">
        <v>124</v>
      </c>
      <c r="AIV6" t="s">
        <v>125</v>
      </c>
      <c r="AIW6" t="s">
        <v>126</v>
      </c>
    </row>
    <row r="7" spans="1:955" ht="30" x14ac:dyDescent="0.25">
      <c r="A7" s="6"/>
      <c r="B7" s="8"/>
      <c r="C7" s="76"/>
      <c r="EX7" s="7"/>
      <c r="EY7" s="7"/>
      <c r="EZ7" s="78"/>
      <c r="FA7" s="78"/>
      <c r="FB7" s="78"/>
      <c r="FC7" s="78"/>
      <c r="FD7" s="78"/>
      <c r="FE7" s="78"/>
      <c r="FF7" s="78"/>
      <c r="FG7" s="78"/>
      <c r="FH7" s="78"/>
      <c r="FI7" s="78"/>
      <c r="FJ7" s="78"/>
      <c r="FK7" s="78"/>
      <c r="FL7" s="78"/>
      <c r="FM7" s="78"/>
      <c r="FN7" s="78"/>
      <c r="FO7" s="78"/>
      <c r="FP7" s="78"/>
      <c r="FQ7" s="78"/>
      <c r="FR7" s="78"/>
      <c r="FS7" s="78"/>
      <c r="FT7" s="78"/>
      <c r="FU7" s="78"/>
      <c r="FV7" s="78"/>
      <c r="FW7" s="78"/>
      <c r="FX7" s="78"/>
      <c r="FY7" s="78"/>
      <c r="FZ7" s="78"/>
      <c r="GA7" s="78"/>
      <c r="GB7" s="78"/>
      <c r="GC7" s="78"/>
      <c r="GD7" s="78"/>
      <c r="GE7" s="78"/>
      <c r="GF7" s="78"/>
      <c r="GG7" s="78"/>
      <c r="GH7" s="78"/>
      <c r="GI7" s="78"/>
      <c r="GJ7" s="78"/>
      <c r="GK7" s="78"/>
      <c r="GL7" s="78"/>
      <c r="GM7" s="78"/>
      <c r="GN7" s="78">
        <v>215</v>
      </c>
      <c r="GO7" s="78">
        <v>215</v>
      </c>
      <c r="GP7" s="78">
        <v>279</v>
      </c>
      <c r="GQ7" s="78">
        <v>305</v>
      </c>
      <c r="GR7" s="78">
        <v>305</v>
      </c>
      <c r="GS7" s="78">
        <v>359</v>
      </c>
      <c r="GT7" s="78">
        <v>390</v>
      </c>
      <c r="GU7" s="78">
        <v>407</v>
      </c>
      <c r="GV7" s="78">
        <v>412</v>
      </c>
      <c r="GW7" s="78">
        <v>437</v>
      </c>
      <c r="GX7" s="78">
        <v>419</v>
      </c>
      <c r="GY7" s="78">
        <v>379</v>
      </c>
      <c r="GZ7" s="78">
        <v>379</v>
      </c>
      <c r="HA7" s="78">
        <v>315</v>
      </c>
      <c r="HB7" s="78">
        <v>248</v>
      </c>
      <c r="HC7" s="78">
        <v>229</v>
      </c>
      <c r="HD7" s="78">
        <v>247</v>
      </c>
      <c r="HE7" s="78">
        <v>272</v>
      </c>
      <c r="HF7" s="78">
        <v>298</v>
      </c>
      <c r="HG7" s="78">
        <v>301</v>
      </c>
      <c r="HH7" s="78">
        <v>327</v>
      </c>
      <c r="HI7" s="78">
        <v>357</v>
      </c>
      <c r="HJ7" s="78">
        <v>365</v>
      </c>
      <c r="HK7" s="78">
        <v>308</v>
      </c>
      <c r="HL7" s="78">
        <v>341</v>
      </c>
      <c r="HM7" s="78">
        <v>428</v>
      </c>
      <c r="HN7" s="78">
        <v>462</v>
      </c>
      <c r="HO7" s="78">
        <v>412</v>
      </c>
      <c r="HP7" s="78">
        <v>299</v>
      </c>
      <c r="HQ7" s="78">
        <v>318</v>
      </c>
      <c r="HR7" s="78">
        <v>311</v>
      </c>
      <c r="HS7" s="78">
        <v>332</v>
      </c>
      <c r="HT7" s="78">
        <v>336</v>
      </c>
      <c r="HU7" s="78">
        <v>338</v>
      </c>
      <c r="HV7" s="78">
        <v>352</v>
      </c>
      <c r="HW7" s="78">
        <v>329</v>
      </c>
      <c r="HX7" s="78">
        <v>353</v>
      </c>
      <c r="HY7" s="78">
        <v>390</v>
      </c>
      <c r="HZ7" s="78">
        <v>389</v>
      </c>
      <c r="IA7" s="78">
        <v>375</v>
      </c>
      <c r="IB7" s="78">
        <v>400</v>
      </c>
      <c r="IC7" s="78">
        <v>421</v>
      </c>
      <c r="ID7" s="78">
        <v>420</v>
      </c>
      <c r="IE7" s="78">
        <v>443</v>
      </c>
      <c r="IF7" s="78">
        <v>418</v>
      </c>
      <c r="IG7" s="78">
        <v>272</v>
      </c>
      <c r="IH7" s="78">
        <v>211</v>
      </c>
      <c r="II7" s="78">
        <v>237</v>
      </c>
      <c r="IJ7" s="78">
        <v>258</v>
      </c>
      <c r="IK7" s="78">
        <v>274</v>
      </c>
      <c r="IL7" s="78">
        <v>296</v>
      </c>
      <c r="IM7" s="78">
        <v>296</v>
      </c>
      <c r="IN7" s="78">
        <v>350</v>
      </c>
      <c r="IO7" s="78">
        <v>381</v>
      </c>
      <c r="IP7" s="78">
        <v>402</v>
      </c>
      <c r="IQ7" s="78">
        <v>402</v>
      </c>
      <c r="IR7" s="78">
        <v>352</v>
      </c>
      <c r="IS7" s="78">
        <v>352</v>
      </c>
      <c r="IT7" s="78">
        <v>375</v>
      </c>
      <c r="IU7" s="78">
        <v>375</v>
      </c>
      <c r="IV7" s="78">
        <v>375</v>
      </c>
      <c r="IW7" s="78">
        <v>375</v>
      </c>
      <c r="IX7" s="78">
        <v>375</v>
      </c>
      <c r="IY7" s="78">
        <v>375</v>
      </c>
      <c r="IZ7" s="78">
        <v>375</v>
      </c>
      <c r="JA7" s="78">
        <v>304</v>
      </c>
      <c r="JB7" s="78">
        <v>304</v>
      </c>
      <c r="JC7" s="78">
        <v>304</v>
      </c>
      <c r="JD7" s="78">
        <v>165</v>
      </c>
      <c r="JE7" s="78">
        <v>165</v>
      </c>
      <c r="JF7" s="78">
        <v>0</v>
      </c>
      <c r="JG7" s="78">
        <v>0</v>
      </c>
      <c r="JH7" s="78">
        <v>0</v>
      </c>
      <c r="JI7" s="78">
        <v>0</v>
      </c>
      <c r="JJ7" s="78">
        <v>0</v>
      </c>
      <c r="JK7" s="78">
        <v>0</v>
      </c>
      <c r="JL7" s="78">
        <v>0</v>
      </c>
      <c r="JM7" s="78">
        <v>0</v>
      </c>
      <c r="JN7" s="78">
        <v>0</v>
      </c>
      <c r="JO7" s="78">
        <v>0</v>
      </c>
      <c r="JP7" s="78">
        <v>0</v>
      </c>
      <c r="JQ7" s="78">
        <v>0</v>
      </c>
      <c r="JR7" s="78">
        <v>0</v>
      </c>
      <c r="JS7" s="78">
        <v>0</v>
      </c>
      <c r="JT7" s="78">
        <v>0</v>
      </c>
      <c r="JU7" s="78">
        <v>0</v>
      </c>
      <c r="JV7" s="78">
        <v>0</v>
      </c>
      <c r="JW7" s="104">
        <v>0</v>
      </c>
      <c r="JX7" s="475"/>
      <c r="JY7" s="107" t="s">
        <v>127</v>
      </c>
      <c r="JZ7" s="85" t="s">
        <v>47</v>
      </c>
      <c r="KA7" s="106"/>
      <c r="KB7" s="82" t="s">
        <v>123</v>
      </c>
      <c r="KC7" s="7">
        <v>5520</v>
      </c>
      <c r="KD7" s="7">
        <v>5778</v>
      </c>
      <c r="KE7" s="7">
        <v>6335</v>
      </c>
      <c r="KF7" s="7">
        <v>6335</v>
      </c>
      <c r="KG7" s="7">
        <v>6335</v>
      </c>
      <c r="KH7" s="7">
        <v>6335</v>
      </c>
      <c r="KI7" s="7">
        <v>7065</v>
      </c>
      <c r="KJ7" s="7">
        <v>7191</v>
      </c>
      <c r="KL7" s="6" t="s">
        <v>82</v>
      </c>
      <c r="KM7" s="7">
        <v>755</v>
      </c>
      <c r="KN7" s="7">
        <v>756</v>
      </c>
      <c r="KO7" s="7">
        <v>792</v>
      </c>
      <c r="KP7" s="7">
        <v>684</v>
      </c>
      <c r="KQ7" s="7">
        <v>916</v>
      </c>
      <c r="KR7" s="7">
        <v>748</v>
      </c>
      <c r="KS7" s="7">
        <v>786</v>
      </c>
      <c r="KT7" s="7">
        <v>786</v>
      </c>
      <c r="KU7" s="7">
        <v>970</v>
      </c>
      <c r="KV7" s="7">
        <v>834</v>
      </c>
      <c r="KW7" s="7">
        <v>859</v>
      </c>
      <c r="KX7" s="7">
        <v>859</v>
      </c>
      <c r="KY7" s="7">
        <v>871</v>
      </c>
      <c r="KZ7" s="7">
        <v>983</v>
      </c>
      <c r="LA7" s="7">
        <v>983</v>
      </c>
      <c r="LB7" s="7">
        <v>963</v>
      </c>
      <c r="LC7" s="7">
        <v>956</v>
      </c>
      <c r="LD7" s="7">
        <v>963</v>
      </c>
      <c r="LE7" s="7">
        <v>1060</v>
      </c>
      <c r="LF7" s="7">
        <v>1029</v>
      </c>
      <c r="LG7" s="7">
        <v>980</v>
      </c>
      <c r="LH7" s="7">
        <v>875</v>
      </c>
      <c r="LI7" s="7">
        <v>942</v>
      </c>
      <c r="LJ7" s="7">
        <v>953</v>
      </c>
      <c r="LK7" s="7">
        <v>876</v>
      </c>
      <c r="LL7" s="7">
        <v>855</v>
      </c>
      <c r="LM7" s="7">
        <v>754</v>
      </c>
      <c r="LN7" s="7">
        <v>947</v>
      </c>
      <c r="LO7" s="7">
        <v>868</v>
      </c>
      <c r="LP7" s="7">
        <v>868</v>
      </c>
      <c r="LQ7" s="7">
        <v>868</v>
      </c>
      <c r="LR7" s="7">
        <v>907</v>
      </c>
      <c r="LS7" s="7">
        <v>895</v>
      </c>
      <c r="LT7" s="7">
        <v>895</v>
      </c>
      <c r="LU7" s="7">
        <v>884</v>
      </c>
      <c r="LV7" s="7">
        <v>841</v>
      </c>
      <c r="LW7" s="7">
        <v>841</v>
      </c>
      <c r="LX7" s="7">
        <v>841</v>
      </c>
      <c r="LY7" s="7">
        <v>879</v>
      </c>
      <c r="LZ7" s="7">
        <v>879</v>
      </c>
      <c r="MA7" s="7">
        <v>811</v>
      </c>
      <c r="MB7" s="7">
        <v>811</v>
      </c>
      <c r="MC7" s="7">
        <v>685</v>
      </c>
      <c r="MD7" s="7">
        <v>685</v>
      </c>
      <c r="ME7" s="7">
        <v>618</v>
      </c>
      <c r="MF7" s="7">
        <v>618</v>
      </c>
      <c r="MG7" s="7">
        <v>618</v>
      </c>
      <c r="MH7" s="7">
        <v>710</v>
      </c>
      <c r="MI7" s="7">
        <v>685</v>
      </c>
      <c r="MJ7" s="7">
        <v>648</v>
      </c>
      <c r="MK7" s="7">
        <v>648</v>
      </c>
      <c r="ML7" s="7">
        <v>625</v>
      </c>
      <c r="MM7" s="7">
        <v>843</v>
      </c>
      <c r="MN7" s="7">
        <v>849</v>
      </c>
      <c r="MO7" s="7">
        <v>794</v>
      </c>
      <c r="MP7" s="7">
        <v>794</v>
      </c>
      <c r="MQ7" s="7">
        <v>703</v>
      </c>
      <c r="MR7" s="7">
        <v>861</v>
      </c>
      <c r="MS7" s="7">
        <v>825</v>
      </c>
      <c r="MT7" s="7">
        <v>825</v>
      </c>
      <c r="MU7" s="7">
        <v>880</v>
      </c>
      <c r="MV7" s="7">
        <v>844</v>
      </c>
      <c r="MW7" s="7">
        <v>844</v>
      </c>
      <c r="MX7" s="7">
        <v>833</v>
      </c>
      <c r="MY7" s="7">
        <v>464</v>
      </c>
      <c r="MZ7" s="7">
        <v>755</v>
      </c>
      <c r="NA7" s="7">
        <v>778</v>
      </c>
      <c r="NB7" s="7">
        <v>776</v>
      </c>
      <c r="NC7" s="7">
        <v>747</v>
      </c>
      <c r="ND7" s="7">
        <v>726</v>
      </c>
      <c r="NE7" s="7">
        <v>725</v>
      </c>
      <c r="NF7" s="7">
        <v>583</v>
      </c>
      <c r="NG7" s="7">
        <v>583</v>
      </c>
      <c r="NH7" s="7">
        <v>855</v>
      </c>
      <c r="NI7" s="7">
        <v>848</v>
      </c>
      <c r="NJ7" s="7">
        <v>821</v>
      </c>
      <c r="NK7" s="7">
        <v>821</v>
      </c>
      <c r="NL7" s="7">
        <v>798</v>
      </c>
      <c r="NM7" s="7">
        <v>882</v>
      </c>
      <c r="NN7" s="7">
        <v>899</v>
      </c>
      <c r="NO7" s="7">
        <v>826</v>
      </c>
      <c r="NP7" s="7">
        <v>826</v>
      </c>
      <c r="NQ7" s="7">
        <v>1001</v>
      </c>
      <c r="NR7" s="7">
        <v>980</v>
      </c>
      <c r="NS7" s="7">
        <v>958</v>
      </c>
      <c r="NT7" s="7">
        <v>949</v>
      </c>
      <c r="NU7" s="7">
        <v>949</v>
      </c>
      <c r="NV7" s="7">
        <v>919</v>
      </c>
      <c r="NW7" s="7">
        <v>875</v>
      </c>
      <c r="NX7" s="7">
        <v>832</v>
      </c>
      <c r="NY7" s="7">
        <v>832</v>
      </c>
      <c r="NZ7" s="7">
        <v>812</v>
      </c>
      <c r="OA7" s="7">
        <v>812</v>
      </c>
      <c r="OB7" s="7">
        <v>890</v>
      </c>
      <c r="OC7" s="7">
        <v>1001</v>
      </c>
      <c r="OD7" s="7">
        <v>1082</v>
      </c>
      <c r="OE7" s="7">
        <v>1171</v>
      </c>
      <c r="OF7" s="7">
        <v>1062</v>
      </c>
      <c r="OG7" s="7">
        <v>911</v>
      </c>
      <c r="OH7" s="7">
        <v>966</v>
      </c>
      <c r="OI7" s="7">
        <v>966</v>
      </c>
      <c r="OJ7" s="7">
        <v>966</v>
      </c>
      <c r="OK7" s="7">
        <v>874</v>
      </c>
      <c r="OL7" s="7">
        <v>874</v>
      </c>
      <c r="OM7" s="7">
        <v>862</v>
      </c>
      <c r="ON7" s="7">
        <v>799</v>
      </c>
      <c r="OO7" s="7">
        <v>779</v>
      </c>
      <c r="OP7" s="7">
        <v>786</v>
      </c>
      <c r="OQ7" s="7">
        <v>786</v>
      </c>
      <c r="OR7" s="7">
        <v>791</v>
      </c>
      <c r="OS7" s="7">
        <v>910</v>
      </c>
      <c r="OT7" s="7">
        <v>910</v>
      </c>
      <c r="OU7" s="7">
        <v>794</v>
      </c>
      <c r="OV7" s="7">
        <v>794</v>
      </c>
      <c r="OW7" s="7">
        <v>794</v>
      </c>
      <c r="OX7" s="7">
        <v>794</v>
      </c>
      <c r="OY7" s="7">
        <v>794</v>
      </c>
      <c r="OZ7" s="7">
        <v>794</v>
      </c>
      <c r="PA7" s="7">
        <v>794</v>
      </c>
      <c r="PB7" s="7">
        <v>794</v>
      </c>
      <c r="PC7" s="7">
        <v>794</v>
      </c>
      <c r="PD7" s="7">
        <v>794</v>
      </c>
      <c r="PE7" s="7">
        <v>794</v>
      </c>
      <c r="PF7" s="7">
        <v>794</v>
      </c>
      <c r="PG7" s="7">
        <v>794</v>
      </c>
      <c r="PH7" s="7">
        <v>794</v>
      </c>
      <c r="PI7" s="7">
        <v>794</v>
      </c>
      <c r="PJ7" s="7">
        <v>794</v>
      </c>
      <c r="PK7" s="7">
        <v>794</v>
      </c>
      <c r="PL7" s="7">
        <v>794</v>
      </c>
      <c r="PM7" s="7">
        <v>794</v>
      </c>
      <c r="PN7" s="7">
        <v>794</v>
      </c>
      <c r="PO7" s="7">
        <v>794</v>
      </c>
      <c r="PP7" s="7">
        <v>794</v>
      </c>
      <c r="PQ7" s="7">
        <v>794</v>
      </c>
      <c r="PR7" s="7">
        <v>794</v>
      </c>
      <c r="PS7" s="7">
        <v>794</v>
      </c>
      <c r="PT7" s="7">
        <v>794</v>
      </c>
      <c r="PU7" s="7">
        <v>794</v>
      </c>
      <c r="PV7" s="7">
        <v>794</v>
      </c>
      <c r="PW7" s="7">
        <v>794</v>
      </c>
      <c r="PX7" s="7">
        <v>794</v>
      </c>
      <c r="PY7" s="7">
        <v>794</v>
      </c>
      <c r="PZ7" s="7">
        <v>794</v>
      </c>
      <c r="QA7" s="7">
        <v>794</v>
      </c>
      <c r="QB7" s="7">
        <v>794</v>
      </c>
      <c r="QC7" s="7">
        <v>794</v>
      </c>
      <c r="QD7" s="7">
        <v>794</v>
      </c>
      <c r="QE7" s="7">
        <v>794</v>
      </c>
      <c r="QF7" s="7">
        <v>794</v>
      </c>
      <c r="QG7" s="7">
        <v>794</v>
      </c>
      <c r="QH7" s="7">
        <v>794</v>
      </c>
      <c r="QI7" s="7">
        <v>794</v>
      </c>
      <c r="QJ7" s="7">
        <v>794</v>
      </c>
      <c r="QK7" s="7">
        <v>794</v>
      </c>
      <c r="QL7" s="7">
        <v>794</v>
      </c>
      <c r="QM7" s="7">
        <v>794</v>
      </c>
      <c r="QN7" s="7">
        <v>794</v>
      </c>
      <c r="QO7" s="7">
        <v>794</v>
      </c>
      <c r="QP7" s="7">
        <v>794</v>
      </c>
      <c r="QQ7" s="7">
        <v>794</v>
      </c>
      <c r="QR7" s="7">
        <v>794</v>
      </c>
      <c r="QS7" s="7">
        <v>794</v>
      </c>
      <c r="QT7" s="7">
        <v>794</v>
      </c>
      <c r="QU7" s="7">
        <v>794</v>
      </c>
      <c r="QV7" s="7">
        <v>794</v>
      </c>
      <c r="QW7" s="7">
        <v>794</v>
      </c>
      <c r="QX7" s="7">
        <v>794</v>
      </c>
      <c r="QY7" s="7">
        <v>794</v>
      </c>
      <c r="QZ7" s="7">
        <v>794</v>
      </c>
      <c r="RA7" s="7">
        <v>794</v>
      </c>
      <c r="RB7" s="7">
        <v>794</v>
      </c>
      <c r="RC7" s="7">
        <v>794</v>
      </c>
      <c r="RD7" s="7">
        <v>794</v>
      </c>
      <c r="RE7" s="7">
        <v>794</v>
      </c>
      <c r="RF7" s="7">
        <v>794</v>
      </c>
      <c r="RG7" s="7">
        <v>794</v>
      </c>
      <c r="RH7" s="7">
        <v>794</v>
      </c>
      <c r="RI7" s="7">
        <v>794</v>
      </c>
      <c r="RJ7" s="7">
        <v>794</v>
      </c>
      <c r="RK7" s="7">
        <v>794</v>
      </c>
      <c r="RL7" s="7">
        <v>794</v>
      </c>
      <c r="RM7" s="7">
        <v>794</v>
      </c>
      <c r="RN7" s="7">
        <v>794</v>
      </c>
      <c r="RO7" s="7">
        <v>794</v>
      </c>
      <c r="RP7" s="7">
        <v>794</v>
      </c>
      <c r="RQ7" s="7">
        <v>794</v>
      </c>
      <c r="RR7" s="7">
        <v>794</v>
      </c>
      <c r="RS7" s="7">
        <v>794</v>
      </c>
      <c r="RT7" s="7">
        <v>794</v>
      </c>
      <c r="RU7" s="7">
        <v>794</v>
      </c>
      <c r="RV7" s="7">
        <v>794</v>
      </c>
      <c r="RW7" s="7">
        <v>794</v>
      </c>
      <c r="RX7" s="7">
        <v>794</v>
      </c>
      <c r="RY7" s="7">
        <v>794</v>
      </c>
      <c r="RZ7" s="7">
        <v>794</v>
      </c>
      <c r="SA7" s="7">
        <v>794</v>
      </c>
      <c r="SB7" s="7">
        <v>794</v>
      </c>
      <c r="SC7" s="7">
        <v>794</v>
      </c>
      <c r="SD7" s="7">
        <v>794</v>
      </c>
      <c r="SE7" s="7">
        <v>794</v>
      </c>
      <c r="SF7" s="7">
        <v>794</v>
      </c>
      <c r="SG7" s="7">
        <v>794</v>
      </c>
      <c r="SH7" s="7">
        <v>794</v>
      </c>
      <c r="SI7" s="7">
        <v>794</v>
      </c>
      <c r="SJ7" s="7">
        <v>794</v>
      </c>
      <c r="SK7" s="7">
        <v>794</v>
      </c>
      <c r="SL7" s="7">
        <v>794</v>
      </c>
      <c r="SM7" s="7">
        <v>794</v>
      </c>
      <c r="SN7" s="7">
        <v>794</v>
      </c>
      <c r="SO7" s="7">
        <v>794</v>
      </c>
      <c r="SP7" s="7">
        <v>794</v>
      </c>
      <c r="SQ7" s="7">
        <v>794</v>
      </c>
      <c r="SR7" s="7">
        <v>794</v>
      </c>
      <c r="SS7" s="7">
        <v>794</v>
      </c>
      <c r="ST7" s="7">
        <v>794</v>
      </c>
      <c r="SU7" s="7">
        <v>794</v>
      </c>
      <c r="SV7" s="7">
        <v>794</v>
      </c>
      <c r="SW7" s="7">
        <v>794</v>
      </c>
      <c r="SX7" s="7">
        <v>1106</v>
      </c>
      <c r="SY7" s="7">
        <v>1191</v>
      </c>
      <c r="SZ7" s="7">
        <v>1154</v>
      </c>
      <c r="TA7" s="7">
        <v>1085</v>
      </c>
      <c r="TB7" s="10">
        <v>1056</v>
      </c>
      <c r="TC7" s="10">
        <v>940</v>
      </c>
      <c r="TD7" s="10">
        <v>900</v>
      </c>
      <c r="TE7" s="10">
        <v>1083</v>
      </c>
      <c r="TF7" s="10">
        <v>1233</v>
      </c>
      <c r="TG7" s="10">
        <v>1167</v>
      </c>
      <c r="TH7" s="10">
        <v>1162</v>
      </c>
      <c r="TI7" s="10">
        <v>1148</v>
      </c>
      <c r="TJ7" s="10">
        <v>1108</v>
      </c>
      <c r="TK7" s="10">
        <v>1057</v>
      </c>
      <c r="TL7" s="10">
        <v>1037</v>
      </c>
      <c r="TM7" s="10">
        <v>1050</v>
      </c>
      <c r="TN7" s="10">
        <v>987</v>
      </c>
      <c r="TO7" s="10">
        <v>1068</v>
      </c>
      <c r="TP7" s="10">
        <v>1052</v>
      </c>
      <c r="TQ7" s="10">
        <v>1122</v>
      </c>
      <c r="TR7" s="10">
        <v>1111</v>
      </c>
      <c r="TS7" s="10">
        <v>1154</v>
      </c>
      <c r="TT7" s="10">
        <v>1178</v>
      </c>
      <c r="TU7" s="10">
        <v>1134</v>
      </c>
      <c r="TV7" s="10">
        <v>1144</v>
      </c>
      <c r="TW7" s="10">
        <v>1154</v>
      </c>
      <c r="TX7" s="10">
        <v>1094</v>
      </c>
      <c r="TY7" s="10">
        <v>1125</v>
      </c>
      <c r="TZ7" s="10">
        <v>1354</v>
      </c>
      <c r="UA7" s="10">
        <v>1366</v>
      </c>
      <c r="UB7" s="10">
        <v>1358</v>
      </c>
      <c r="UC7" s="10">
        <v>1328</v>
      </c>
      <c r="UD7" s="10">
        <v>1263</v>
      </c>
      <c r="UE7" s="10">
        <v>1232</v>
      </c>
      <c r="UF7" s="10">
        <v>1225</v>
      </c>
      <c r="UG7" s="10">
        <v>1202</v>
      </c>
      <c r="UH7" s="10">
        <v>1206</v>
      </c>
      <c r="UI7" s="10">
        <v>1281</v>
      </c>
      <c r="UJ7" s="10">
        <v>1151</v>
      </c>
      <c r="UK7" s="10">
        <v>1142</v>
      </c>
      <c r="UL7" s="10">
        <v>1100</v>
      </c>
      <c r="UM7" s="10">
        <v>1004</v>
      </c>
      <c r="UN7" s="10">
        <v>891</v>
      </c>
      <c r="UO7" s="10">
        <v>766</v>
      </c>
      <c r="UP7" s="10">
        <v>830</v>
      </c>
      <c r="UQ7" s="10">
        <v>749</v>
      </c>
      <c r="UR7" s="10">
        <v>659</v>
      </c>
      <c r="US7" s="10">
        <v>910</v>
      </c>
      <c r="UT7" s="10">
        <v>950</v>
      </c>
      <c r="UU7" s="10">
        <v>953</v>
      </c>
      <c r="UV7" s="10">
        <v>995</v>
      </c>
      <c r="UW7" s="10">
        <v>1003</v>
      </c>
      <c r="UX7" s="10">
        <v>1059</v>
      </c>
      <c r="UY7" s="10">
        <v>1016</v>
      </c>
      <c r="UZ7" s="10">
        <v>1016</v>
      </c>
      <c r="VA7" s="10">
        <v>1016</v>
      </c>
      <c r="VB7" s="10">
        <v>1148</v>
      </c>
      <c r="VC7" s="10">
        <v>1296</v>
      </c>
      <c r="VD7" s="10">
        <v>1358</v>
      </c>
      <c r="VE7" s="10">
        <v>1323</v>
      </c>
      <c r="VF7" s="10">
        <v>1240</v>
      </c>
      <c r="VG7" s="10">
        <v>1129</v>
      </c>
      <c r="VH7" s="10">
        <v>1080</v>
      </c>
      <c r="VI7" s="10">
        <v>1133</v>
      </c>
      <c r="VJ7" s="10">
        <v>1101</v>
      </c>
      <c r="VK7" s="10">
        <v>1033</v>
      </c>
      <c r="VL7" s="10">
        <v>1017</v>
      </c>
      <c r="VM7" s="10">
        <v>1011</v>
      </c>
      <c r="VN7" s="10">
        <v>1123</v>
      </c>
      <c r="VO7" s="10">
        <v>1053</v>
      </c>
      <c r="VP7" s="10">
        <v>1073</v>
      </c>
      <c r="VQ7" s="10">
        <v>1214</v>
      </c>
      <c r="VR7" s="10">
        <v>1209</v>
      </c>
      <c r="VS7" s="10">
        <v>1214</v>
      </c>
      <c r="VT7" s="10">
        <v>1176</v>
      </c>
      <c r="VU7" s="10">
        <v>1041</v>
      </c>
      <c r="VV7" s="10">
        <v>1061</v>
      </c>
      <c r="VW7" s="10">
        <v>1109</v>
      </c>
      <c r="VX7" s="10">
        <v>1108</v>
      </c>
      <c r="VY7" s="10">
        <v>1077</v>
      </c>
      <c r="VZ7" s="10">
        <v>1145</v>
      </c>
      <c r="WA7" s="10">
        <v>1106</v>
      </c>
      <c r="WB7" s="10">
        <v>1074</v>
      </c>
      <c r="WC7" s="10">
        <v>1074</v>
      </c>
      <c r="WD7" s="10">
        <v>1026</v>
      </c>
      <c r="WE7" s="10">
        <v>1165</v>
      </c>
      <c r="WF7" s="10">
        <v>1124</v>
      </c>
      <c r="WG7" s="10">
        <v>1104</v>
      </c>
      <c r="WH7" s="10">
        <v>1108</v>
      </c>
      <c r="WI7" s="10">
        <v>1162</v>
      </c>
      <c r="WJ7" s="10">
        <v>1160</v>
      </c>
      <c r="WK7" s="10">
        <v>1360</v>
      </c>
      <c r="WL7" s="10">
        <v>1365</v>
      </c>
      <c r="WM7" s="10">
        <v>1353</v>
      </c>
      <c r="WN7" s="10">
        <v>1349</v>
      </c>
      <c r="WO7" s="10">
        <v>1345</v>
      </c>
      <c r="WP7" s="10">
        <v>1301</v>
      </c>
      <c r="WQ7" s="10">
        <v>1467</v>
      </c>
      <c r="WR7" s="10">
        <v>1417</v>
      </c>
      <c r="WS7" s="10">
        <v>1397</v>
      </c>
      <c r="WT7" s="10">
        <v>1345</v>
      </c>
      <c r="WU7" s="10">
        <v>1344</v>
      </c>
      <c r="WV7" s="10">
        <v>1314</v>
      </c>
      <c r="WW7" s="10">
        <v>1349</v>
      </c>
      <c r="WX7" s="10">
        <v>1455</v>
      </c>
      <c r="WY7" s="10">
        <v>1448</v>
      </c>
      <c r="WZ7" s="10">
        <v>1418</v>
      </c>
      <c r="XA7" s="10">
        <v>1365</v>
      </c>
      <c r="XB7" s="10">
        <v>1315</v>
      </c>
      <c r="XC7" s="10">
        <v>1305</v>
      </c>
      <c r="XD7" s="10">
        <v>1305</v>
      </c>
      <c r="XE7" s="10">
        <v>1298</v>
      </c>
      <c r="XF7" s="10">
        <v>1197</v>
      </c>
      <c r="XG7" s="10">
        <v>1153</v>
      </c>
      <c r="XH7" s="10">
        <v>1113</v>
      </c>
      <c r="XI7" s="10">
        <v>1137</v>
      </c>
      <c r="XJ7" s="10">
        <v>1090</v>
      </c>
      <c r="XK7" s="10">
        <v>1222</v>
      </c>
      <c r="XL7" s="10">
        <v>1281</v>
      </c>
      <c r="XM7" s="10">
        <v>1349</v>
      </c>
      <c r="XN7" s="10">
        <v>1345</v>
      </c>
      <c r="XO7" s="10">
        <v>1306</v>
      </c>
      <c r="XP7" s="10">
        <v>1169</v>
      </c>
      <c r="XQ7" s="10">
        <v>1169</v>
      </c>
      <c r="XR7" s="10">
        <v>1198</v>
      </c>
      <c r="XS7" s="10">
        <v>1156</v>
      </c>
      <c r="XT7" s="10">
        <v>1156</v>
      </c>
      <c r="XU7" s="10">
        <v>985</v>
      </c>
      <c r="XV7" s="10">
        <v>983</v>
      </c>
      <c r="XW7" s="10">
        <v>983</v>
      </c>
      <c r="XX7" s="10">
        <v>950</v>
      </c>
      <c r="XY7" s="10">
        <v>813</v>
      </c>
      <c r="XZ7" s="10">
        <v>813</v>
      </c>
      <c r="YA7" s="10">
        <v>830</v>
      </c>
      <c r="YB7" s="10">
        <v>958</v>
      </c>
      <c r="YC7" s="10">
        <v>917</v>
      </c>
      <c r="YD7" s="10">
        <v>917</v>
      </c>
      <c r="YE7" s="10">
        <v>887</v>
      </c>
      <c r="YF7" s="10">
        <v>832</v>
      </c>
      <c r="YG7" s="10">
        <v>811</v>
      </c>
      <c r="YH7" s="10">
        <v>781</v>
      </c>
      <c r="YI7" s="10">
        <v>741</v>
      </c>
      <c r="YJ7" s="10">
        <v>720</v>
      </c>
      <c r="YK7" s="10">
        <v>680</v>
      </c>
      <c r="YL7" s="10">
        <v>726</v>
      </c>
      <c r="YM7" s="10">
        <v>792</v>
      </c>
      <c r="YN7" s="10">
        <v>839</v>
      </c>
      <c r="YO7" s="10">
        <v>830</v>
      </c>
      <c r="YP7" s="10">
        <v>805</v>
      </c>
      <c r="YQ7" s="10">
        <v>805</v>
      </c>
      <c r="YR7" s="10">
        <v>805</v>
      </c>
      <c r="YS7" s="10">
        <v>805</v>
      </c>
      <c r="YT7" s="10">
        <v>805</v>
      </c>
      <c r="YU7" s="10">
        <v>805</v>
      </c>
      <c r="YV7" s="10">
        <v>757</v>
      </c>
      <c r="YW7" s="10">
        <v>971</v>
      </c>
      <c r="YX7" s="10">
        <v>908</v>
      </c>
      <c r="YY7" s="10">
        <v>908</v>
      </c>
      <c r="YZ7" s="10">
        <v>982</v>
      </c>
      <c r="ZA7" s="10">
        <v>923</v>
      </c>
      <c r="ZB7" s="10">
        <v>1150</v>
      </c>
      <c r="ZC7" s="10">
        <v>1103</v>
      </c>
      <c r="ZD7" s="10">
        <v>1177</v>
      </c>
      <c r="ZE7" s="10">
        <v>1242</v>
      </c>
      <c r="ZF7" s="10">
        <v>1228</v>
      </c>
      <c r="ZG7" s="10">
        <v>1192</v>
      </c>
      <c r="ZH7" s="10">
        <v>1142</v>
      </c>
      <c r="ZI7" s="10">
        <v>1142</v>
      </c>
      <c r="ZJ7" s="10">
        <v>1236</v>
      </c>
      <c r="ZK7" s="10">
        <v>1202</v>
      </c>
      <c r="ZL7" s="10">
        <v>1163</v>
      </c>
      <c r="ZM7" s="10">
        <v>1143</v>
      </c>
      <c r="ZN7" s="10">
        <v>1135</v>
      </c>
      <c r="ZO7" s="10">
        <v>1243</v>
      </c>
      <c r="ZP7" s="10">
        <v>1296</v>
      </c>
      <c r="ZQ7" s="10">
        <v>1276</v>
      </c>
      <c r="ZR7" s="10">
        <v>1127</v>
      </c>
      <c r="ZS7" s="10">
        <v>1127</v>
      </c>
      <c r="ZT7" s="10">
        <v>1127</v>
      </c>
      <c r="ZU7" s="10">
        <v>1127</v>
      </c>
      <c r="ZV7" s="10">
        <v>1127</v>
      </c>
      <c r="ZW7" s="10">
        <v>1127</v>
      </c>
      <c r="ZX7" s="10">
        <v>1088</v>
      </c>
      <c r="ZY7" s="10">
        <v>1097</v>
      </c>
      <c r="ZZ7" s="10">
        <v>1136</v>
      </c>
      <c r="AAA7" s="10">
        <v>1207</v>
      </c>
      <c r="AAB7" s="10">
        <v>1204</v>
      </c>
      <c r="AAC7" s="10">
        <v>1143</v>
      </c>
      <c r="AAD7" s="10">
        <v>1099</v>
      </c>
      <c r="AAE7" s="10">
        <v>1299</v>
      </c>
      <c r="AAF7" s="10">
        <v>1299</v>
      </c>
      <c r="AAG7" s="10">
        <v>1342</v>
      </c>
      <c r="AAH7" s="10">
        <v>1294</v>
      </c>
      <c r="AAI7" s="10">
        <v>1318</v>
      </c>
      <c r="AAJ7" s="10">
        <v>1301</v>
      </c>
      <c r="AAK7" s="10">
        <v>1306</v>
      </c>
      <c r="AAL7" s="10">
        <v>1290</v>
      </c>
      <c r="AAM7" s="10">
        <v>1290</v>
      </c>
      <c r="AAN7" s="10">
        <v>1290</v>
      </c>
      <c r="AAO7" s="10">
        <v>1275</v>
      </c>
      <c r="AAP7" s="10">
        <v>1355</v>
      </c>
      <c r="AAQ7" s="10">
        <v>1353</v>
      </c>
      <c r="AAR7" s="10">
        <v>1353</v>
      </c>
      <c r="AAS7" s="10">
        <v>1265</v>
      </c>
      <c r="AAT7" s="10">
        <v>1321</v>
      </c>
      <c r="AAU7" s="10">
        <v>1275</v>
      </c>
      <c r="AAV7" s="10">
        <v>1310</v>
      </c>
      <c r="AAW7" s="10">
        <v>1310</v>
      </c>
      <c r="AAX7" s="10">
        <v>1325</v>
      </c>
      <c r="AAY7" s="10">
        <v>1286</v>
      </c>
      <c r="AAZ7" s="10">
        <v>1266</v>
      </c>
      <c r="ABA7" s="10">
        <v>1271</v>
      </c>
      <c r="ABB7" s="10">
        <v>1352</v>
      </c>
      <c r="ABC7" s="10">
        <v>1366</v>
      </c>
      <c r="ABD7" s="10">
        <v>1366</v>
      </c>
      <c r="ABE7" s="10">
        <v>1366</v>
      </c>
      <c r="ABF7" s="10">
        <v>1366</v>
      </c>
      <c r="ABG7" s="10">
        <v>1366</v>
      </c>
      <c r="ABH7" s="10">
        <v>1230</v>
      </c>
      <c r="ABI7" s="10">
        <v>1230</v>
      </c>
      <c r="ABJ7" s="10">
        <v>1230</v>
      </c>
      <c r="ABK7" s="10">
        <v>1056</v>
      </c>
      <c r="ABL7" s="10">
        <v>1005</v>
      </c>
      <c r="ABM7" s="10">
        <v>965</v>
      </c>
      <c r="ABN7" s="10">
        <v>927</v>
      </c>
      <c r="ABO7" s="10">
        <v>957</v>
      </c>
      <c r="ABP7" s="10">
        <v>957</v>
      </c>
      <c r="ABQ7" s="10">
        <v>930</v>
      </c>
      <c r="ABR7" s="10">
        <v>930</v>
      </c>
      <c r="ABS7" s="10">
        <v>930</v>
      </c>
      <c r="ABT7" s="10">
        <v>828</v>
      </c>
      <c r="ABU7" s="10">
        <v>1042</v>
      </c>
      <c r="ABV7" s="10">
        <v>1053</v>
      </c>
      <c r="ABW7" s="10">
        <v>1061</v>
      </c>
      <c r="ABX7" s="10">
        <v>1161</v>
      </c>
      <c r="ABY7" s="10">
        <v>1180</v>
      </c>
      <c r="ABZ7" s="10">
        <v>1171</v>
      </c>
      <c r="ACA7" s="10">
        <v>1171</v>
      </c>
      <c r="ACB7" s="10">
        <v>1171</v>
      </c>
      <c r="ACC7" s="10">
        <v>1154</v>
      </c>
      <c r="ACD7" s="10">
        <v>1119</v>
      </c>
      <c r="ACE7" s="10">
        <v>1075</v>
      </c>
      <c r="ACF7" s="10">
        <v>1007</v>
      </c>
      <c r="ACG7" s="10">
        <v>1037</v>
      </c>
      <c r="ACH7" s="314">
        <v>900</v>
      </c>
      <c r="ACI7" s="314">
        <v>845</v>
      </c>
      <c r="ACJ7" s="314">
        <v>845</v>
      </c>
      <c r="ACK7" s="314">
        <v>895</v>
      </c>
      <c r="ACL7" s="316">
        <v>895</v>
      </c>
      <c r="ACM7" s="314">
        <v>980</v>
      </c>
      <c r="ACN7" s="314">
        <v>980</v>
      </c>
      <c r="ACO7" s="314">
        <v>980</v>
      </c>
      <c r="ACP7" s="314">
        <v>980</v>
      </c>
      <c r="ACQ7" s="314">
        <v>1042</v>
      </c>
      <c r="ACR7" s="314">
        <v>1010</v>
      </c>
      <c r="ACS7" s="314">
        <v>976</v>
      </c>
      <c r="ACT7" s="314">
        <v>935</v>
      </c>
      <c r="ACU7" s="314">
        <v>958</v>
      </c>
      <c r="ACV7" s="314">
        <v>947</v>
      </c>
      <c r="ACW7" s="314">
        <v>904</v>
      </c>
      <c r="ACX7" s="314">
        <v>904</v>
      </c>
      <c r="ACY7" s="314">
        <v>863</v>
      </c>
      <c r="ACZ7" s="314">
        <v>839</v>
      </c>
      <c r="ADA7" s="314">
        <v>760</v>
      </c>
      <c r="ADB7" s="314">
        <v>760</v>
      </c>
      <c r="ADC7" s="314">
        <v>685</v>
      </c>
      <c r="ADD7" s="314">
        <v>632</v>
      </c>
      <c r="ADE7" s="314">
        <v>651</v>
      </c>
      <c r="ADF7" s="314">
        <v>651</v>
      </c>
      <c r="ADG7" s="314">
        <v>791</v>
      </c>
      <c r="ADH7" s="314">
        <v>793</v>
      </c>
      <c r="ADI7" s="314">
        <v>762</v>
      </c>
      <c r="ADJ7" s="314">
        <v>695</v>
      </c>
      <c r="ADK7" s="314">
        <v>701</v>
      </c>
      <c r="ADL7" s="314">
        <v>701</v>
      </c>
      <c r="ADM7" s="314">
        <v>685</v>
      </c>
      <c r="ADN7" s="314">
        <v>671</v>
      </c>
      <c r="ADO7" s="314">
        <v>635</v>
      </c>
      <c r="ADP7" s="314">
        <v>621</v>
      </c>
      <c r="ADQ7" s="314">
        <v>561</v>
      </c>
      <c r="ADR7" s="314">
        <v>547</v>
      </c>
      <c r="ADS7" s="314">
        <v>530</v>
      </c>
      <c r="ADT7" s="328">
        <v>542</v>
      </c>
      <c r="ADU7" s="330">
        <v>441</v>
      </c>
      <c r="ADV7" s="330">
        <v>499</v>
      </c>
      <c r="ADW7" s="330">
        <v>565</v>
      </c>
      <c r="ADX7" s="330">
        <v>531</v>
      </c>
      <c r="ADY7" s="330">
        <v>533</v>
      </c>
      <c r="ADZ7" s="330">
        <v>533</v>
      </c>
      <c r="AEA7" s="330">
        <v>736</v>
      </c>
      <c r="AEB7" s="330">
        <v>711</v>
      </c>
      <c r="AEC7" s="330">
        <v>749</v>
      </c>
      <c r="AED7" s="330">
        <v>781</v>
      </c>
      <c r="AEE7" s="330">
        <v>722</v>
      </c>
      <c r="AEF7" s="330">
        <v>719</v>
      </c>
      <c r="AEG7" s="330">
        <v>681</v>
      </c>
      <c r="AEH7" s="330">
        <v>465</v>
      </c>
      <c r="AEI7" s="330">
        <v>426</v>
      </c>
      <c r="AEJ7" s="330">
        <v>417</v>
      </c>
      <c r="AEK7" s="330">
        <v>348</v>
      </c>
      <c r="AEL7" s="330">
        <v>566</v>
      </c>
      <c r="AEM7" s="330">
        <v>744</v>
      </c>
      <c r="AEN7" s="330">
        <v>856</v>
      </c>
      <c r="AEO7" s="330">
        <v>954</v>
      </c>
      <c r="AEP7" s="330">
        <v>922</v>
      </c>
      <c r="AEQ7" s="330">
        <v>911</v>
      </c>
      <c r="AER7" s="330">
        <v>928</v>
      </c>
      <c r="AES7" s="330">
        <v>924</v>
      </c>
      <c r="AET7" s="330">
        <v>924</v>
      </c>
      <c r="AEU7" s="330">
        <v>1016</v>
      </c>
      <c r="AEV7" s="330">
        <v>1029</v>
      </c>
      <c r="AEW7" s="330">
        <v>1029</v>
      </c>
      <c r="AEX7" s="330">
        <v>997</v>
      </c>
      <c r="AEY7" s="330">
        <v>889</v>
      </c>
      <c r="AEZ7" s="330">
        <v>726</v>
      </c>
      <c r="AFA7" s="330">
        <v>703</v>
      </c>
      <c r="AFB7" s="330">
        <v>681</v>
      </c>
      <c r="AFC7" s="330">
        <v>860</v>
      </c>
      <c r="AFD7" s="330">
        <v>856</v>
      </c>
      <c r="AFE7" s="330">
        <v>824</v>
      </c>
      <c r="AFF7" s="330">
        <v>803</v>
      </c>
      <c r="AFG7" s="330">
        <v>795</v>
      </c>
      <c r="AFH7" s="330">
        <v>601</v>
      </c>
      <c r="AFI7" s="330">
        <v>556</v>
      </c>
      <c r="AFJ7" s="330">
        <v>566</v>
      </c>
      <c r="AFK7" s="330">
        <v>576</v>
      </c>
      <c r="AFL7" s="330">
        <v>607</v>
      </c>
      <c r="AFM7" s="330">
        <v>535</v>
      </c>
      <c r="AFN7" s="330">
        <v>615</v>
      </c>
      <c r="AFO7" s="330">
        <v>601</v>
      </c>
      <c r="AFP7" s="330">
        <v>585</v>
      </c>
      <c r="AFQ7" s="330">
        <v>595</v>
      </c>
      <c r="AFR7" s="330">
        <v>691</v>
      </c>
      <c r="AFS7" s="330">
        <v>683</v>
      </c>
      <c r="AFT7" s="330">
        <v>880</v>
      </c>
      <c r="AFU7" s="330">
        <v>870</v>
      </c>
      <c r="AFV7" s="330">
        <v>935</v>
      </c>
      <c r="AFW7" s="330">
        <v>839</v>
      </c>
      <c r="AFX7" s="330">
        <v>807</v>
      </c>
      <c r="AFY7" s="330">
        <v>854</v>
      </c>
      <c r="AFZ7" s="330">
        <v>912</v>
      </c>
      <c r="AGA7" s="330">
        <v>906</v>
      </c>
      <c r="AGB7" s="330">
        <v>836</v>
      </c>
      <c r="AGC7" s="330">
        <v>1067</v>
      </c>
      <c r="AGD7" s="330">
        <v>1007</v>
      </c>
      <c r="AGE7" s="330">
        <v>1072</v>
      </c>
      <c r="AGF7" s="330">
        <v>1039</v>
      </c>
      <c r="AGG7" s="330">
        <v>1034</v>
      </c>
      <c r="AGH7" s="330">
        <v>1104</v>
      </c>
      <c r="AGI7" s="330">
        <v>1066</v>
      </c>
      <c r="AGJ7" s="330">
        <v>1034</v>
      </c>
      <c r="AGK7" s="330">
        <v>1038</v>
      </c>
      <c r="AGL7" s="330">
        <v>1094</v>
      </c>
      <c r="AGM7" s="330">
        <v>1175</v>
      </c>
      <c r="AGN7" s="330">
        <v>1162</v>
      </c>
      <c r="AGO7" s="330">
        <v>1158</v>
      </c>
      <c r="AGP7" s="330">
        <v>1102</v>
      </c>
      <c r="AGQ7" s="330">
        <v>1088</v>
      </c>
      <c r="AGR7" s="330">
        <v>1072</v>
      </c>
      <c r="AGS7" s="330">
        <v>990</v>
      </c>
      <c r="AGT7" s="330">
        <v>960</v>
      </c>
      <c r="AGU7" s="330">
        <v>829</v>
      </c>
      <c r="AGV7" s="330">
        <v>744</v>
      </c>
      <c r="AGW7" s="330">
        <v>688</v>
      </c>
      <c r="AGX7" s="330">
        <v>634</v>
      </c>
      <c r="AGY7" s="330">
        <v>583</v>
      </c>
      <c r="AGZ7" s="330">
        <v>507</v>
      </c>
      <c r="AHA7" s="330">
        <v>574</v>
      </c>
      <c r="AHB7" s="330">
        <v>597</v>
      </c>
      <c r="AHC7" s="330">
        <v>667</v>
      </c>
      <c r="AHD7" s="330">
        <v>559</v>
      </c>
      <c r="AHE7" s="330">
        <v>529</v>
      </c>
      <c r="AHF7" s="330">
        <v>580</v>
      </c>
      <c r="AHG7" s="383">
        <v>549</v>
      </c>
      <c r="AHH7" s="330">
        <v>716</v>
      </c>
      <c r="AHI7" s="330">
        <v>622</v>
      </c>
      <c r="AHJ7" s="330">
        <v>596</v>
      </c>
      <c r="AHK7" s="330">
        <v>559</v>
      </c>
      <c r="AHL7" s="330">
        <v>565</v>
      </c>
      <c r="AHM7" s="330">
        <v>586</v>
      </c>
      <c r="AHN7" s="330">
        <v>553</v>
      </c>
      <c r="AHO7" s="330">
        <v>537</v>
      </c>
      <c r="AHP7" s="330">
        <v>449</v>
      </c>
      <c r="AHQ7" s="330">
        <v>504</v>
      </c>
      <c r="AHR7" s="330">
        <v>546</v>
      </c>
      <c r="AHS7" s="391">
        <v>505</v>
      </c>
      <c r="AHT7" s="391">
        <v>505</v>
      </c>
      <c r="AHU7" s="391">
        <v>471</v>
      </c>
      <c r="AHV7" s="391">
        <v>409</v>
      </c>
      <c r="AHW7" s="391">
        <v>400</v>
      </c>
      <c r="AHX7" s="391">
        <v>357</v>
      </c>
      <c r="AHY7" s="391">
        <v>208</v>
      </c>
      <c r="AHZ7" s="391">
        <v>152</v>
      </c>
      <c r="AIA7" s="391">
        <v>96</v>
      </c>
      <c r="AIB7" s="391">
        <v>69</v>
      </c>
      <c r="AIC7" s="391">
        <v>69</v>
      </c>
      <c r="AID7" s="391">
        <v>70</v>
      </c>
      <c r="AIE7" s="391">
        <v>254</v>
      </c>
      <c r="AIF7" s="391">
        <v>442</v>
      </c>
      <c r="AIG7" s="391">
        <v>442</v>
      </c>
      <c r="AIH7" s="391">
        <v>466</v>
      </c>
      <c r="AII7" s="90"/>
      <c r="AIJ7" s="113" t="s">
        <v>67</v>
      </c>
      <c r="AIK7" s="10">
        <f>[1]Summary!$C$11</f>
        <v>3114.8409999999999</v>
      </c>
      <c r="AIL7" s="9">
        <f t="shared" si="5"/>
        <v>0.72438162790697669</v>
      </c>
      <c r="AIM7" s="126">
        <f>IF((AIR7*0.93)-AIK7&lt;0,0,(AIR7*0.93)-AIK7)</f>
        <v>884.15900000000011</v>
      </c>
      <c r="AIN7" s="48"/>
      <c r="AIO7" s="10">
        <f t="shared" si="7"/>
        <v>970.15900000000011</v>
      </c>
      <c r="AIP7" s="113" t="s">
        <v>67</v>
      </c>
      <c r="AIQ7" s="8" t="s">
        <v>47</v>
      </c>
      <c r="AIR7" s="272">
        <f>MASTER_DATA!E9</f>
        <v>4300</v>
      </c>
      <c r="AIS7" s="272">
        <f>MASTER_DATA!F9</f>
        <v>0</v>
      </c>
    </row>
    <row r="8" spans="1:955" ht="45" x14ac:dyDescent="0.25">
      <c r="A8" s="6" t="s">
        <v>73</v>
      </c>
      <c r="B8" s="8" t="s">
        <v>55</v>
      </c>
      <c r="C8" s="77"/>
      <c r="EX8" s="7"/>
      <c r="EY8" s="7"/>
      <c r="EZ8" s="78">
        <v>3600</v>
      </c>
      <c r="FA8" s="78">
        <v>3600</v>
      </c>
      <c r="FB8" s="78">
        <v>3600</v>
      </c>
      <c r="FC8" s="78">
        <v>3600</v>
      </c>
      <c r="FD8" s="78">
        <v>3600</v>
      </c>
      <c r="FE8" s="78">
        <v>3600</v>
      </c>
      <c r="FF8" s="78">
        <v>3600</v>
      </c>
      <c r="FG8" s="78">
        <v>3600</v>
      </c>
      <c r="FH8" s="78">
        <v>3600</v>
      </c>
      <c r="FI8" s="78">
        <v>3600</v>
      </c>
      <c r="FJ8" s="78">
        <v>3600</v>
      </c>
      <c r="FK8" s="78">
        <v>3600</v>
      </c>
      <c r="FL8" s="78">
        <v>3600</v>
      </c>
      <c r="FM8" s="78">
        <v>3600</v>
      </c>
      <c r="FN8" s="78">
        <v>3600</v>
      </c>
      <c r="FO8" s="78">
        <v>3600</v>
      </c>
      <c r="FP8" s="78">
        <v>3600</v>
      </c>
      <c r="FQ8" s="78">
        <v>3600</v>
      </c>
      <c r="FR8" s="78">
        <v>3600</v>
      </c>
      <c r="FS8" s="78">
        <v>3600</v>
      </c>
      <c r="FT8" s="78">
        <v>3600</v>
      </c>
      <c r="FU8" s="78">
        <v>3600</v>
      </c>
      <c r="FV8" s="78">
        <v>3600</v>
      </c>
      <c r="FW8" s="78">
        <v>3600</v>
      </c>
      <c r="FX8" s="78">
        <v>3600</v>
      </c>
      <c r="FY8" s="78">
        <v>3600</v>
      </c>
      <c r="FZ8" s="78">
        <v>3600</v>
      </c>
      <c r="GA8" s="78">
        <v>3600</v>
      </c>
      <c r="GB8" s="78">
        <v>3600</v>
      </c>
      <c r="GC8" s="78">
        <v>3600</v>
      </c>
      <c r="GD8" s="78">
        <v>3600</v>
      </c>
      <c r="GE8" s="78">
        <v>3600</v>
      </c>
      <c r="GF8" s="78">
        <v>3600</v>
      </c>
      <c r="GG8" s="78">
        <v>3600</v>
      </c>
      <c r="GH8" s="78">
        <v>3600</v>
      </c>
      <c r="GI8" s="78">
        <v>3600</v>
      </c>
      <c r="GJ8" s="78">
        <v>3600</v>
      </c>
      <c r="GK8" s="78">
        <v>3600</v>
      </c>
      <c r="GL8" s="78"/>
      <c r="GM8" s="78">
        <v>3600</v>
      </c>
      <c r="GN8" s="78">
        <v>2132</v>
      </c>
      <c r="GO8" s="78">
        <v>2132</v>
      </c>
      <c r="GP8" s="78">
        <v>2132</v>
      </c>
      <c r="GQ8" s="78">
        <v>2132</v>
      </c>
      <c r="GR8" s="78">
        <v>2132</v>
      </c>
      <c r="GS8" s="78">
        <v>2132</v>
      </c>
      <c r="GT8" s="78">
        <v>2132</v>
      </c>
      <c r="GU8" s="78">
        <v>2132</v>
      </c>
      <c r="GV8" s="78">
        <v>2132</v>
      </c>
      <c r="GW8" s="78">
        <v>2132</v>
      </c>
      <c r="GX8" s="78">
        <v>2132</v>
      </c>
      <c r="GY8" s="78">
        <v>2132</v>
      </c>
      <c r="GZ8" s="78">
        <v>2132</v>
      </c>
      <c r="HA8" s="78">
        <v>2132</v>
      </c>
      <c r="HB8" s="78">
        <v>2132</v>
      </c>
      <c r="HC8" s="78">
        <v>2132</v>
      </c>
      <c r="HD8" s="78">
        <v>2132</v>
      </c>
      <c r="HE8" s="78">
        <v>2132</v>
      </c>
      <c r="HF8" s="78">
        <v>2132</v>
      </c>
      <c r="HG8" s="78">
        <v>2132</v>
      </c>
      <c r="HH8" s="78">
        <v>2132</v>
      </c>
      <c r="HI8" s="78">
        <v>2132</v>
      </c>
      <c r="HJ8" s="78">
        <v>2132</v>
      </c>
      <c r="HK8" s="78">
        <v>2132</v>
      </c>
      <c r="HL8" s="78">
        <v>2132</v>
      </c>
      <c r="HM8" s="78">
        <v>2132</v>
      </c>
      <c r="HN8" s="78">
        <v>2132</v>
      </c>
      <c r="HO8" s="78">
        <v>2132</v>
      </c>
      <c r="HP8" s="78">
        <v>2132</v>
      </c>
      <c r="HQ8" s="78">
        <v>2132</v>
      </c>
      <c r="HR8" s="78">
        <v>2132</v>
      </c>
      <c r="HS8" s="78">
        <v>2132</v>
      </c>
      <c r="HT8" s="78">
        <v>2132</v>
      </c>
      <c r="HU8" s="78">
        <v>2132</v>
      </c>
      <c r="HV8" s="78">
        <v>2132</v>
      </c>
      <c r="HW8" s="78">
        <v>2132</v>
      </c>
      <c r="HX8" s="78">
        <v>2132</v>
      </c>
      <c r="HY8" s="78">
        <v>2132</v>
      </c>
      <c r="HZ8" s="78">
        <v>2132</v>
      </c>
      <c r="IA8" s="78">
        <v>2132</v>
      </c>
      <c r="IB8" s="78">
        <v>2132</v>
      </c>
      <c r="IC8" s="78">
        <v>2132</v>
      </c>
      <c r="ID8" s="78">
        <v>2132</v>
      </c>
      <c r="IE8" s="78">
        <v>2132</v>
      </c>
      <c r="IF8" s="78">
        <v>2132</v>
      </c>
      <c r="IG8" s="78">
        <v>2132</v>
      </c>
      <c r="IH8" s="78">
        <v>2132</v>
      </c>
      <c r="II8" s="78">
        <v>2132</v>
      </c>
      <c r="IJ8" s="78">
        <v>2132</v>
      </c>
      <c r="IK8" s="78">
        <v>2132</v>
      </c>
      <c r="IL8" s="78">
        <v>2132</v>
      </c>
      <c r="IM8" s="78">
        <v>2132</v>
      </c>
      <c r="IN8" s="78">
        <v>2132</v>
      </c>
      <c r="IO8" s="78">
        <v>2132</v>
      </c>
      <c r="IP8" s="78">
        <v>2132</v>
      </c>
      <c r="IQ8" s="78">
        <v>2132</v>
      </c>
      <c r="IR8" s="78">
        <v>2132</v>
      </c>
      <c r="IS8" s="78">
        <v>2132</v>
      </c>
      <c r="IT8" s="78">
        <v>2132</v>
      </c>
      <c r="IU8" s="78">
        <v>2132</v>
      </c>
      <c r="IV8" s="78">
        <v>2132</v>
      </c>
      <c r="IW8" s="78">
        <v>2132</v>
      </c>
      <c r="IX8" s="78">
        <v>2132</v>
      </c>
      <c r="IY8" s="78">
        <v>2132</v>
      </c>
      <c r="IZ8" s="78">
        <v>2132</v>
      </c>
      <c r="JA8" s="78">
        <v>2132</v>
      </c>
      <c r="JB8" s="78">
        <v>2132</v>
      </c>
      <c r="JC8" s="78">
        <v>2132</v>
      </c>
      <c r="JD8" s="78">
        <v>2132</v>
      </c>
      <c r="JE8" s="78">
        <v>2132</v>
      </c>
      <c r="JF8" s="78">
        <v>6200</v>
      </c>
      <c r="JG8" s="78">
        <v>6200</v>
      </c>
      <c r="JH8" s="78">
        <v>6200</v>
      </c>
      <c r="JI8" s="78">
        <v>6200</v>
      </c>
      <c r="JJ8" s="78">
        <v>6200</v>
      </c>
      <c r="JK8" s="78">
        <v>6200</v>
      </c>
      <c r="JL8" s="78">
        <v>6200</v>
      </c>
      <c r="JM8" s="78">
        <v>6200</v>
      </c>
      <c r="JN8" s="78">
        <v>6200</v>
      </c>
      <c r="JO8" s="78">
        <v>6200</v>
      </c>
      <c r="JP8" s="78">
        <v>6200</v>
      </c>
      <c r="JQ8" s="78">
        <v>6200</v>
      </c>
      <c r="JR8" s="78">
        <v>6200</v>
      </c>
      <c r="JS8" s="78">
        <v>6200</v>
      </c>
      <c r="JT8" s="78">
        <v>6200</v>
      </c>
      <c r="JU8" s="78">
        <v>6200</v>
      </c>
      <c r="JV8" s="78">
        <v>6200</v>
      </c>
      <c r="JW8" s="104">
        <v>6200</v>
      </c>
      <c r="JX8" s="475"/>
      <c r="JY8" s="107" t="s">
        <v>128</v>
      </c>
      <c r="JZ8" s="85" t="s">
        <v>129</v>
      </c>
      <c r="KA8" s="106"/>
      <c r="KB8" s="6" t="s">
        <v>82</v>
      </c>
      <c r="KC8" s="7">
        <v>469</v>
      </c>
      <c r="KD8" s="7">
        <v>487</v>
      </c>
      <c r="KE8" s="7">
        <v>512</v>
      </c>
      <c r="KF8" s="7">
        <v>512</v>
      </c>
      <c r="KG8" s="7">
        <v>512</v>
      </c>
      <c r="KH8" s="7">
        <v>512</v>
      </c>
      <c r="KI8" s="7">
        <v>702</v>
      </c>
      <c r="KJ8" s="7">
        <v>755</v>
      </c>
      <c r="OP8" s="90"/>
      <c r="OQ8" s="90"/>
      <c r="OR8" s="90"/>
      <c r="OS8" s="90"/>
      <c r="OT8" s="90"/>
      <c r="OU8" s="90"/>
      <c r="OV8" s="90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315"/>
      <c r="ACI8" s="315"/>
      <c r="ACJ8" s="315"/>
      <c r="ACK8" s="315"/>
      <c r="ACL8" s="315"/>
      <c r="ACM8" s="315"/>
      <c r="ACN8" s="315"/>
      <c r="ACO8" s="315"/>
      <c r="ACP8" s="315"/>
      <c r="ACQ8" s="315"/>
      <c r="ACR8" s="315"/>
      <c r="ACS8" s="315"/>
      <c r="ACT8" s="315"/>
      <c r="ACU8" s="315"/>
      <c r="ACV8" s="315"/>
      <c r="ACW8" s="315"/>
      <c r="ACX8" s="315"/>
      <c r="ACY8" s="315"/>
      <c r="ACZ8" s="315"/>
      <c r="ADA8" s="315"/>
      <c r="ADB8" s="315"/>
      <c r="ADC8" s="315"/>
      <c r="ADD8" s="315"/>
      <c r="ADE8" s="315"/>
      <c r="ADF8" s="315"/>
      <c r="ADG8" s="315"/>
      <c r="ADH8" s="315"/>
      <c r="ADI8" s="315"/>
      <c r="ADJ8" s="315"/>
      <c r="ADK8" s="315"/>
      <c r="ADL8" s="315"/>
      <c r="ADM8" s="315"/>
      <c r="ADN8" s="315"/>
      <c r="ADO8" s="315"/>
      <c r="ADP8" s="315"/>
      <c r="ADQ8" s="315"/>
      <c r="ADR8" s="315"/>
      <c r="ADS8" s="315"/>
      <c r="ADT8" s="315"/>
      <c r="ADU8" s="315"/>
      <c r="ADV8" s="315"/>
      <c r="ADW8" s="315"/>
      <c r="ADX8" s="315"/>
      <c r="ADY8" s="315"/>
      <c r="ADZ8" s="315"/>
      <c r="AEA8" s="315"/>
      <c r="AEB8" s="315"/>
      <c r="AEC8" s="315"/>
      <c r="AED8" s="315"/>
      <c r="AEE8" s="315"/>
      <c r="AEF8" s="315"/>
      <c r="AEG8" s="315"/>
      <c r="AEH8" s="315"/>
      <c r="AEI8" s="315"/>
      <c r="AEJ8" s="315"/>
      <c r="AEK8" s="315"/>
      <c r="AEL8" s="315"/>
      <c r="AEM8" s="315"/>
      <c r="AEN8" s="315"/>
      <c r="AEO8" s="315"/>
      <c r="AEP8" s="315"/>
      <c r="AEQ8" s="315"/>
      <c r="AER8" s="315"/>
      <c r="AES8" s="315"/>
      <c r="AET8" s="315"/>
      <c r="AEU8" s="315"/>
      <c r="AEV8" s="315"/>
      <c r="AEW8" s="315"/>
      <c r="AEX8" s="315"/>
      <c r="AEY8" s="315"/>
      <c r="AEZ8" s="315"/>
      <c r="AFA8" s="315"/>
      <c r="AFB8" s="315"/>
      <c r="AFC8" s="315"/>
      <c r="AFD8" s="315"/>
      <c r="AFE8" s="315"/>
      <c r="AFF8" s="315"/>
      <c r="AFG8" s="315"/>
      <c r="AFH8" s="315"/>
      <c r="AFI8" s="315"/>
      <c r="AFJ8" s="315"/>
      <c r="AFK8" s="315"/>
      <c r="AFL8" s="315"/>
      <c r="AFM8" s="315"/>
      <c r="AFN8" s="315"/>
      <c r="AFO8" s="315"/>
      <c r="AFP8" s="315"/>
      <c r="AFQ8" s="315"/>
      <c r="AFR8" s="315"/>
      <c r="AFS8" s="315"/>
      <c r="AFT8" s="315"/>
      <c r="AFU8" s="315"/>
      <c r="AFV8" s="315"/>
      <c r="AFW8" s="315"/>
      <c r="AFX8" s="315"/>
      <c r="AFY8" s="315"/>
      <c r="AFZ8" s="315"/>
      <c r="AGA8" s="315"/>
      <c r="AGB8" s="315"/>
      <c r="AGC8" s="315"/>
      <c r="AGD8" s="315" t="s">
        <v>76</v>
      </c>
      <c r="AGE8" s="315"/>
      <c r="AGF8" s="315"/>
      <c r="AGG8" s="315"/>
      <c r="AGH8" s="315"/>
      <c r="AGI8" s="315"/>
      <c r="AGJ8" s="315"/>
      <c r="AGK8" s="315"/>
      <c r="AGL8" s="315"/>
      <c r="AGM8" s="315"/>
      <c r="AGN8" s="315"/>
      <c r="AGO8" s="315"/>
      <c r="AGP8" s="315"/>
      <c r="AGQ8" s="315"/>
      <c r="AGR8" s="315"/>
      <c r="AGS8" s="315"/>
      <c r="AGT8" s="315"/>
      <c r="AGU8" s="315"/>
      <c r="AGV8" s="315"/>
      <c r="AGW8" s="315"/>
      <c r="AGX8" s="315"/>
      <c r="AGY8" s="315"/>
      <c r="AGZ8" s="315"/>
      <c r="AHA8" s="315"/>
      <c r="AHB8" s="315"/>
      <c r="AHC8" s="315"/>
      <c r="AHD8" s="315"/>
      <c r="AHE8" s="315"/>
      <c r="AHF8" s="315"/>
      <c r="AHG8" s="315"/>
      <c r="AHH8" s="315"/>
      <c r="AHI8" s="315"/>
      <c r="AHJ8" s="315"/>
      <c r="AHK8" s="315"/>
      <c r="AHL8" s="315"/>
      <c r="AHM8" s="315"/>
      <c r="AHN8" s="315"/>
      <c r="AHO8" s="315"/>
      <c r="AHP8" s="315"/>
      <c r="AHQ8" s="315"/>
      <c r="AHR8" s="315"/>
      <c r="AHS8" s="315"/>
      <c r="AHT8" s="315"/>
      <c r="AHU8" s="315"/>
      <c r="AHV8" s="315"/>
      <c r="AHW8" s="315"/>
      <c r="AHX8" s="315"/>
      <c r="AHY8" s="315"/>
      <c r="AHZ8" s="315"/>
      <c r="AIA8" s="315"/>
      <c r="AIB8" s="315"/>
      <c r="AIC8" s="315"/>
      <c r="AID8" s="315"/>
      <c r="AIE8" s="315"/>
      <c r="AIF8" s="315"/>
      <c r="AIG8" s="315"/>
      <c r="AIH8" s="315"/>
      <c r="AIJ8" s="114" t="s">
        <v>73</v>
      </c>
      <c r="AIK8" s="314">
        <f>[1]Summary!$C$6</f>
        <v>7676.0394999999999</v>
      </c>
      <c r="AIL8" s="9">
        <f t="shared" si="5"/>
        <v>1</v>
      </c>
      <c r="AIM8" s="126">
        <f>IF((AIR8*0.93)-AIK8&lt;0,0,(AIR8*0.93)-AIK8)</f>
        <v>0</v>
      </c>
      <c r="AIN8" s="10"/>
      <c r="AIO8" s="10">
        <f t="shared" si="7"/>
        <v>0</v>
      </c>
      <c r="AIP8" s="114" t="s">
        <v>73</v>
      </c>
      <c r="AIQ8" s="8" t="s">
        <v>47</v>
      </c>
      <c r="AIR8" s="78">
        <f>MASTER_DATA!E4</f>
        <v>7500</v>
      </c>
      <c r="AIS8" s="78">
        <f>MASTER_DATA!F4</f>
        <v>85000</v>
      </c>
      <c r="AIT8" t="s">
        <v>130</v>
      </c>
      <c r="AIW8"/>
    </row>
    <row r="9" spans="1:955" x14ac:dyDescent="0.25">
      <c r="EX9" s="7"/>
      <c r="EY9" s="7"/>
      <c r="EZ9" s="7"/>
      <c r="FA9" s="7"/>
      <c r="FB9" s="7"/>
      <c r="FC9" s="7"/>
      <c r="FD9" s="7">
        <v>7808</v>
      </c>
      <c r="FE9" s="7">
        <v>6154</v>
      </c>
      <c r="FF9" s="7">
        <v>6154</v>
      </c>
      <c r="FG9" s="7">
        <v>7020</v>
      </c>
      <c r="FH9" s="7">
        <v>7020</v>
      </c>
      <c r="FI9" s="7">
        <v>7594</v>
      </c>
      <c r="FJ9" s="7">
        <v>8028</v>
      </c>
      <c r="FK9" s="7">
        <v>8028</v>
      </c>
      <c r="FL9" s="7">
        <v>8165</v>
      </c>
      <c r="FM9" s="7">
        <v>8165</v>
      </c>
      <c r="FN9" s="7">
        <v>8263</v>
      </c>
      <c r="FO9" s="7">
        <v>8415</v>
      </c>
      <c r="FP9" s="7">
        <v>8491</v>
      </c>
      <c r="FQ9" s="7">
        <v>8261</v>
      </c>
      <c r="FR9" s="7">
        <v>8543</v>
      </c>
      <c r="FS9" s="7">
        <v>8485</v>
      </c>
      <c r="FT9" s="7">
        <v>8485</v>
      </c>
      <c r="FU9" s="7">
        <v>8485</v>
      </c>
      <c r="FV9" s="7">
        <v>8017</v>
      </c>
      <c r="FW9" s="7">
        <v>7664</v>
      </c>
      <c r="FX9" s="7">
        <v>7664</v>
      </c>
      <c r="FY9" s="7">
        <v>7664</v>
      </c>
      <c r="FZ9" s="7">
        <v>6697</v>
      </c>
      <c r="GA9" s="7">
        <v>7843</v>
      </c>
      <c r="GB9" s="7">
        <v>7843</v>
      </c>
      <c r="GC9" s="7">
        <v>7843</v>
      </c>
      <c r="GD9" s="7">
        <v>8608</v>
      </c>
      <c r="GE9" s="7">
        <v>8853</v>
      </c>
      <c r="GF9" s="7">
        <v>8853</v>
      </c>
      <c r="GG9" s="7">
        <v>8998</v>
      </c>
      <c r="GH9" s="7">
        <v>8395</v>
      </c>
      <c r="GI9" s="7">
        <v>8157</v>
      </c>
      <c r="GJ9" s="7">
        <v>8157</v>
      </c>
      <c r="GK9" s="7">
        <v>7269</v>
      </c>
      <c r="GL9" s="7">
        <v>7222</v>
      </c>
      <c r="GM9" s="7">
        <v>7222</v>
      </c>
      <c r="GN9" s="7">
        <v>7222</v>
      </c>
      <c r="GO9" s="7">
        <v>7222</v>
      </c>
      <c r="GP9" s="7">
        <v>7222</v>
      </c>
      <c r="GQ9" s="7">
        <v>7222</v>
      </c>
      <c r="GR9" s="7">
        <v>7813</v>
      </c>
      <c r="GS9" s="7">
        <v>7813</v>
      </c>
      <c r="GT9" s="7">
        <v>8475</v>
      </c>
      <c r="GU9" s="7">
        <v>8475</v>
      </c>
      <c r="GV9" s="7">
        <v>8475</v>
      </c>
      <c r="GW9" s="7">
        <v>8475</v>
      </c>
      <c r="GX9" s="7">
        <v>8096</v>
      </c>
      <c r="GY9" s="7">
        <v>7045</v>
      </c>
      <c r="GZ9" s="7">
        <v>7045</v>
      </c>
      <c r="HA9" s="7">
        <v>6129</v>
      </c>
      <c r="HB9" s="7">
        <v>6129</v>
      </c>
      <c r="HC9" s="7">
        <v>6129</v>
      </c>
      <c r="HD9" s="7">
        <v>6661</v>
      </c>
      <c r="HE9" s="7">
        <v>7127</v>
      </c>
      <c r="HF9" s="7">
        <v>7127</v>
      </c>
      <c r="HG9" s="7">
        <v>7127</v>
      </c>
      <c r="HH9" s="7">
        <v>7755</v>
      </c>
      <c r="HI9" s="7">
        <v>7755</v>
      </c>
      <c r="HJ9" s="7">
        <v>8010</v>
      </c>
      <c r="HK9" s="7">
        <v>7418</v>
      </c>
      <c r="HL9" s="7">
        <v>7418</v>
      </c>
      <c r="HM9" s="7">
        <v>7418</v>
      </c>
      <c r="HN9" s="7">
        <v>7418</v>
      </c>
      <c r="HO9" s="7">
        <v>7418</v>
      </c>
      <c r="HP9" s="7">
        <v>7656</v>
      </c>
      <c r="HQ9" s="7">
        <v>7656</v>
      </c>
      <c r="HR9" s="7">
        <v>7347</v>
      </c>
      <c r="HS9" s="7">
        <v>7347</v>
      </c>
      <c r="HT9" s="7">
        <v>7632</v>
      </c>
      <c r="HU9" s="7">
        <v>7632</v>
      </c>
      <c r="HV9" s="7">
        <v>8042</v>
      </c>
      <c r="HW9" s="7">
        <v>8102</v>
      </c>
      <c r="HX9" s="7">
        <v>8102</v>
      </c>
      <c r="HY9" s="7">
        <v>8420</v>
      </c>
      <c r="HZ9" s="7">
        <v>7842</v>
      </c>
      <c r="IA9" s="7">
        <v>7783</v>
      </c>
      <c r="IB9" s="7">
        <v>7570</v>
      </c>
      <c r="IC9" s="7">
        <v>7570</v>
      </c>
      <c r="ID9" s="7">
        <v>7570</v>
      </c>
      <c r="IE9" s="7">
        <v>7570</v>
      </c>
      <c r="IF9" s="7">
        <v>6885</v>
      </c>
      <c r="IG9" s="7">
        <v>6885</v>
      </c>
      <c r="IH9" s="7">
        <v>6885</v>
      </c>
      <c r="II9" s="7">
        <v>7426</v>
      </c>
      <c r="IJ9" s="7">
        <v>7426</v>
      </c>
      <c r="IK9" s="7">
        <v>7334</v>
      </c>
      <c r="IL9" s="7">
        <v>8594</v>
      </c>
      <c r="IM9" s="7">
        <v>8594</v>
      </c>
      <c r="IN9" s="7">
        <v>8146</v>
      </c>
      <c r="IO9" s="7">
        <v>8146</v>
      </c>
      <c r="IP9" s="7">
        <v>8038</v>
      </c>
      <c r="IQ9" s="7">
        <v>8038</v>
      </c>
      <c r="IR9" s="7">
        <v>8038</v>
      </c>
      <c r="IS9" s="7">
        <v>8038</v>
      </c>
      <c r="IT9" s="7">
        <v>8038</v>
      </c>
      <c r="IU9" s="7">
        <v>8038</v>
      </c>
      <c r="IV9" s="7">
        <v>8038</v>
      </c>
      <c r="IW9" s="7">
        <v>8038</v>
      </c>
      <c r="IX9" s="7">
        <v>6647</v>
      </c>
      <c r="IY9" s="7">
        <v>6647</v>
      </c>
      <c r="IZ9" s="7">
        <v>5398</v>
      </c>
      <c r="JA9" s="7">
        <v>4693</v>
      </c>
      <c r="JB9" s="7">
        <v>4693</v>
      </c>
      <c r="JC9" s="7">
        <v>4693</v>
      </c>
      <c r="JD9" s="7">
        <v>4326</v>
      </c>
      <c r="JE9" s="7">
        <v>4326</v>
      </c>
      <c r="JF9" s="7">
        <v>4326</v>
      </c>
      <c r="JG9" s="7">
        <v>4290</v>
      </c>
      <c r="JH9" s="7">
        <v>4240</v>
      </c>
      <c r="JI9" s="7">
        <v>5002</v>
      </c>
      <c r="JJ9" s="7">
        <v>5002</v>
      </c>
      <c r="JK9" s="7">
        <v>5247</v>
      </c>
      <c r="JL9" s="7">
        <v>5247</v>
      </c>
      <c r="JM9" s="7">
        <v>5247</v>
      </c>
      <c r="JN9" s="7">
        <v>5247</v>
      </c>
      <c r="JO9" s="7">
        <v>4574</v>
      </c>
      <c r="JP9" s="7">
        <v>4573</v>
      </c>
      <c r="JQ9" s="7">
        <v>4932</v>
      </c>
      <c r="JR9" s="7">
        <v>4979</v>
      </c>
      <c r="JS9" s="7">
        <v>5116</v>
      </c>
      <c r="JT9" s="7">
        <v>5116</v>
      </c>
      <c r="JU9" s="7">
        <v>5109</v>
      </c>
      <c r="JV9" s="7">
        <v>5652</v>
      </c>
      <c r="JW9" s="103">
        <v>5663</v>
      </c>
      <c r="JX9" s="475"/>
      <c r="JY9" s="108" t="s">
        <v>131</v>
      </c>
      <c r="JZ9" s="7" t="s">
        <v>132</v>
      </c>
      <c r="KD9" s="90"/>
      <c r="KE9" s="90"/>
      <c r="KF9" s="90"/>
      <c r="KG9" s="90"/>
      <c r="KH9" s="90"/>
      <c r="KI9" s="90"/>
      <c r="KJ9" s="90"/>
      <c r="KK9" s="90"/>
      <c r="KL9" s="90"/>
      <c r="KM9" s="90"/>
      <c r="KN9" s="90"/>
      <c r="KO9" s="90"/>
      <c r="KP9" s="90"/>
      <c r="KQ9" s="90"/>
      <c r="KR9" s="90"/>
      <c r="KS9" s="90"/>
      <c r="KT9" s="90"/>
      <c r="KU9" s="90"/>
      <c r="KV9" s="90"/>
      <c r="KW9" s="90"/>
      <c r="KX9" s="90"/>
      <c r="KY9" s="90"/>
      <c r="KZ9" s="90"/>
      <c r="LA9" s="90"/>
      <c r="LB9" s="90"/>
      <c r="LC9" s="90"/>
      <c r="LD9" s="90"/>
      <c r="LE9" s="90"/>
      <c r="LF9" s="90"/>
      <c r="LG9" s="90"/>
      <c r="LH9" s="90"/>
      <c r="LI9" s="90"/>
      <c r="LJ9" s="90"/>
      <c r="LK9" s="90"/>
      <c r="LL9" s="90"/>
      <c r="LM9" s="90"/>
      <c r="LN9" s="90"/>
      <c r="LO9" s="90"/>
      <c r="LP9" s="90"/>
      <c r="LQ9" s="90"/>
      <c r="LR9" s="90"/>
      <c r="LS9" s="90"/>
      <c r="LT9" s="90"/>
      <c r="LU9" s="90"/>
      <c r="LV9" s="90"/>
      <c r="LW9" s="90"/>
      <c r="LX9" s="90"/>
      <c r="LY9" s="90"/>
      <c r="LZ9" s="90"/>
      <c r="MA9" s="90"/>
      <c r="MB9" s="90"/>
      <c r="MC9" s="90"/>
      <c r="MD9" s="90"/>
      <c r="ME9" s="90"/>
      <c r="MF9" s="90"/>
      <c r="MG9" s="90"/>
      <c r="MH9" s="90"/>
      <c r="MI9" s="90"/>
      <c r="MJ9" s="90"/>
      <c r="MK9" s="90"/>
      <c r="ML9" s="90"/>
      <c r="MM9" s="90"/>
      <c r="MN9" s="90"/>
      <c r="MO9" s="90"/>
      <c r="MP9" s="90"/>
      <c r="MQ9" s="90"/>
      <c r="MR9" s="90"/>
      <c r="MS9" s="90"/>
      <c r="MT9" s="90"/>
      <c r="MU9" s="90"/>
      <c r="MV9" s="90"/>
      <c r="MW9" s="90"/>
      <c r="MX9" s="90"/>
      <c r="MY9" s="90"/>
      <c r="MZ9" s="90"/>
      <c r="NA9" s="90"/>
      <c r="NB9" s="90"/>
      <c r="NC9" s="90"/>
      <c r="ND9" s="90"/>
      <c r="NE9" s="90"/>
      <c r="NF9" s="90"/>
      <c r="NG9" s="90"/>
      <c r="NH9" s="90"/>
      <c r="NI9" s="90"/>
      <c r="NJ9" s="90"/>
      <c r="NK9" s="90"/>
      <c r="NL9" s="90"/>
      <c r="NM9" s="90"/>
      <c r="NN9" s="90"/>
      <c r="NO9" s="90"/>
      <c r="NP9" s="90"/>
      <c r="NQ9" s="90"/>
      <c r="NR9" s="90"/>
      <c r="NS9" s="90"/>
      <c r="NT9" s="90"/>
      <c r="NU9" s="90"/>
      <c r="NV9" s="90"/>
      <c r="NW9" s="90"/>
      <c r="NX9" s="90"/>
      <c r="NY9" s="90"/>
      <c r="NZ9" s="90"/>
      <c r="OA9" s="90"/>
      <c r="OB9" s="90"/>
      <c r="OC9" s="90"/>
      <c r="OD9" s="90"/>
      <c r="OE9" s="90"/>
      <c r="OF9" s="90"/>
      <c r="OG9" s="90"/>
      <c r="OH9" s="90"/>
      <c r="OI9" s="90"/>
      <c r="OJ9" s="90"/>
      <c r="OK9" s="90"/>
      <c r="OL9" s="90"/>
      <c r="OM9" s="90"/>
      <c r="ON9" s="90"/>
      <c r="OO9" s="90"/>
      <c r="AIJ9" s="85" t="s">
        <v>123</v>
      </c>
      <c r="AIK9" s="10">
        <f>AIL71</f>
        <v>9169</v>
      </c>
      <c r="AIL9" s="9">
        <f t="shared" si="5"/>
        <v>0.90504392458789851</v>
      </c>
      <c r="AIM9" s="7"/>
      <c r="AIN9" s="7"/>
      <c r="AIO9" s="10">
        <f t="shared" si="7"/>
        <v>455.44999999999891</v>
      </c>
      <c r="AIP9" s="85" t="s">
        <v>123</v>
      </c>
      <c r="AIQ9" s="7" t="s">
        <v>132</v>
      </c>
      <c r="AIR9" s="177">
        <f>MASTER_DATA!E10</f>
        <v>10131</v>
      </c>
      <c r="AIS9" s="177">
        <f>MASTER_DATA!F10</f>
        <v>0</v>
      </c>
      <c r="AIT9" t="s">
        <v>133</v>
      </c>
      <c r="AIU9" t="s">
        <v>134</v>
      </c>
    </row>
    <row r="10" spans="1:955" x14ac:dyDescent="0.25"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103"/>
      <c r="JX10" s="475"/>
      <c r="JY10" s="108"/>
      <c r="JZ10" s="7"/>
      <c r="KD10" s="90"/>
      <c r="KE10" s="90"/>
      <c r="KF10" s="90"/>
      <c r="KG10" s="90"/>
      <c r="KH10" s="90"/>
      <c r="KI10" s="90"/>
      <c r="KJ10" s="90"/>
      <c r="KK10" s="90"/>
      <c r="KL10" s="90"/>
      <c r="KM10" s="90"/>
      <c r="KN10" s="90"/>
      <c r="KO10" s="90"/>
      <c r="KP10" s="90"/>
      <c r="KQ10" s="90"/>
      <c r="KR10" s="90"/>
      <c r="KS10" s="90"/>
      <c r="KT10" s="90"/>
      <c r="KU10" s="90"/>
      <c r="KV10" s="90"/>
      <c r="KW10" s="90"/>
      <c r="KX10" s="90"/>
      <c r="KY10" s="90"/>
      <c r="KZ10" s="90"/>
      <c r="LA10" s="90"/>
      <c r="LB10" s="90"/>
      <c r="LC10" s="90"/>
      <c r="LD10" s="90"/>
      <c r="LE10" s="90"/>
      <c r="LF10" s="90"/>
      <c r="LG10" s="90"/>
      <c r="LH10" s="90"/>
      <c r="LI10" s="90"/>
      <c r="LJ10" s="90"/>
      <c r="LK10" s="90"/>
      <c r="LL10" s="90"/>
      <c r="LM10" s="90"/>
      <c r="LN10" s="90"/>
      <c r="LO10" s="90"/>
      <c r="LP10" s="90"/>
      <c r="LQ10" s="90"/>
      <c r="LR10" s="90"/>
      <c r="LS10" s="90"/>
      <c r="LT10" s="90"/>
      <c r="LU10" s="90"/>
      <c r="LV10" s="90"/>
      <c r="LW10" s="90"/>
      <c r="LX10" s="90"/>
      <c r="LY10" s="90"/>
      <c r="LZ10" s="90"/>
      <c r="MA10" s="90"/>
      <c r="MB10" s="90"/>
      <c r="MC10" s="90"/>
      <c r="MD10" s="90"/>
      <c r="ME10" s="90"/>
      <c r="MF10" s="90"/>
      <c r="MG10" s="90"/>
      <c r="MH10" s="90"/>
      <c r="MI10" s="90"/>
      <c r="MJ10" s="90"/>
      <c r="MK10" s="90"/>
      <c r="ML10" s="90"/>
      <c r="MM10" s="90"/>
      <c r="MN10" s="90"/>
      <c r="MO10" s="90"/>
      <c r="MP10" s="90"/>
      <c r="MQ10" s="90"/>
      <c r="MR10" s="90"/>
      <c r="MS10" s="90"/>
      <c r="MT10" s="90"/>
      <c r="MU10" s="90"/>
      <c r="MV10" s="90"/>
      <c r="MW10" s="90"/>
      <c r="MX10" s="90"/>
      <c r="MY10" s="90"/>
      <c r="MZ10" s="90"/>
      <c r="NA10" s="90"/>
      <c r="NB10" s="90"/>
      <c r="NC10" s="90"/>
      <c r="ND10" s="90"/>
      <c r="NE10" s="90"/>
      <c r="NF10" s="90"/>
      <c r="NG10" s="90"/>
      <c r="NH10" s="90"/>
      <c r="NI10" s="90"/>
      <c r="NJ10" s="90"/>
      <c r="NK10" s="90"/>
      <c r="NL10" s="90"/>
      <c r="NM10" s="90"/>
      <c r="NN10" s="90"/>
      <c r="NO10" s="90"/>
      <c r="NP10" s="90"/>
      <c r="NQ10" s="90"/>
      <c r="NR10" s="90"/>
      <c r="NS10" s="90"/>
      <c r="NT10" s="90"/>
      <c r="NU10" s="90"/>
      <c r="NV10" s="90"/>
      <c r="NW10" s="90"/>
      <c r="NX10" s="90"/>
      <c r="NY10" s="90"/>
      <c r="NZ10" s="90"/>
      <c r="OA10" s="90"/>
      <c r="OB10" s="90"/>
      <c r="OC10" s="90"/>
      <c r="OD10" s="90"/>
      <c r="OE10" s="90"/>
      <c r="OF10" s="90"/>
      <c r="OG10" s="90"/>
      <c r="OH10" s="90"/>
      <c r="OI10" s="90"/>
      <c r="OJ10" s="90"/>
      <c r="OK10" s="90"/>
      <c r="OL10" s="90"/>
      <c r="OM10" s="90"/>
      <c r="ON10" s="90"/>
      <c r="OO10" s="90"/>
      <c r="AIJ10" s="85" t="s">
        <v>82</v>
      </c>
      <c r="AIK10" s="10">
        <f>AIL72</f>
        <v>861</v>
      </c>
      <c r="AIL10" s="9">
        <f t="shared" si="5"/>
        <v>0.57399999999999995</v>
      </c>
      <c r="AIM10" s="7"/>
      <c r="AIN10" s="7"/>
      <c r="AIO10" s="7">
        <f t="shared" si="7"/>
        <v>564</v>
      </c>
      <c r="AIP10" s="85" t="s">
        <v>82</v>
      </c>
      <c r="AIQ10" s="7" t="s">
        <v>132</v>
      </c>
      <c r="AIR10" s="7">
        <f>MASTER_DATA!E11</f>
        <v>1500</v>
      </c>
      <c r="AIS10" s="7">
        <f>MASTER_DATA!F11</f>
        <v>0</v>
      </c>
      <c r="AIT10" t="s">
        <v>135</v>
      </c>
    </row>
    <row r="11" spans="1:955" x14ac:dyDescent="0.25"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103"/>
      <c r="JX11" s="475"/>
      <c r="JY11" s="108"/>
      <c r="JZ11" s="7"/>
      <c r="KD11" s="90"/>
      <c r="KE11" s="90"/>
      <c r="KF11" s="90"/>
      <c r="KG11" s="90"/>
      <c r="KH11" s="90"/>
      <c r="KI11" s="90"/>
      <c r="KJ11" s="90"/>
      <c r="KK11" s="90"/>
      <c r="KL11" s="90"/>
      <c r="KM11" s="90"/>
      <c r="KN11" s="90"/>
      <c r="KO11" s="90"/>
      <c r="KP11" s="90"/>
      <c r="KQ11" s="90"/>
      <c r="KR11" s="90"/>
      <c r="KS11" s="90"/>
      <c r="KT11" s="90"/>
      <c r="KU11" s="90"/>
      <c r="KV11" s="90"/>
      <c r="KW11" s="90"/>
      <c r="KX11" s="90"/>
      <c r="KY11" s="90"/>
      <c r="KZ11" s="90"/>
      <c r="LA11" s="90"/>
      <c r="LB11" s="90"/>
      <c r="LC11" s="90"/>
      <c r="LD11" s="90"/>
      <c r="LE11" s="90"/>
      <c r="LF11" s="90"/>
      <c r="LG11" s="90"/>
      <c r="LH11" s="90"/>
      <c r="LI11" s="90"/>
      <c r="LJ11" s="90"/>
      <c r="LK11" s="90"/>
      <c r="LL11" s="90"/>
      <c r="LM11" s="90"/>
      <c r="LN11" s="90"/>
      <c r="LO11" s="90"/>
      <c r="LP11" s="90"/>
      <c r="LQ11" s="90"/>
      <c r="LR11" s="90"/>
      <c r="LS11" s="90"/>
      <c r="LT11" s="90"/>
      <c r="LU11" s="90"/>
      <c r="LV11" s="90"/>
      <c r="LW11" s="90"/>
      <c r="LX11" s="90"/>
      <c r="LY11" s="90"/>
      <c r="LZ11" s="90"/>
      <c r="MA11" s="90"/>
      <c r="MB11" s="90"/>
      <c r="MC11" s="90"/>
      <c r="MD11" s="90"/>
      <c r="ME11" s="90"/>
      <c r="MF11" s="90"/>
      <c r="MG11" s="90"/>
      <c r="MH11" s="90"/>
      <c r="MI11" s="90"/>
      <c r="MJ11" s="90"/>
      <c r="MK11" s="90"/>
      <c r="ML11" s="90"/>
      <c r="MM11" s="90"/>
      <c r="MN11" s="90"/>
      <c r="MO11" s="90"/>
      <c r="MP11" s="90"/>
      <c r="MQ11" s="90"/>
      <c r="MR11" s="90"/>
      <c r="MS11" s="90"/>
      <c r="MT11" s="90"/>
      <c r="MU11" s="90"/>
      <c r="MV11" s="90"/>
      <c r="MW11" s="90"/>
      <c r="MX11" s="90"/>
      <c r="MY11" s="90"/>
      <c r="MZ11" s="90"/>
      <c r="NA11" s="90"/>
      <c r="NB11" s="90"/>
      <c r="NC11" s="90"/>
      <c r="ND11" s="90"/>
      <c r="NE11" s="90"/>
      <c r="NF11" s="90"/>
      <c r="NG11" s="90"/>
      <c r="NH11" s="90"/>
      <c r="NI11" s="90"/>
      <c r="NJ11" s="90"/>
      <c r="NK11" s="90"/>
      <c r="NL11" s="90"/>
      <c r="NM11" s="90"/>
      <c r="NN11" s="90"/>
      <c r="NO11" s="90"/>
      <c r="NP11" s="90"/>
      <c r="NQ11" s="90"/>
      <c r="NR11" s="90"/>
      <c r="NS11" s="90"/>
      <c r="NT11" s="90"/>
      <c r="NU11" s="90"/>
      <c r="NV11" s="90"/>
      <c r="NW11" s="90"/>
      <c r="NX11" s="90"/>
      <c r="NY11" s="90"/>
      <c r="NZ11" s="90"/>
      <c r="OA11" s="90"/>
      <c r="OB11" s="90"/>
      <c r="OC11" s="90"/>
      <c r="OD11" s="90"/>
      <c r="OE11" s="90"/>
      <c r="OF11" s="90"/>
      <c r="OG11" s="90"/>
      <c r="OH11" s="90"/>
      <c r="OI11" s="90"/>
      <c r="OJ11" s="90"/>
      <c r="OK11" s="90"/>
      <c r="OL11" s="90"/>
      <c r="OM11" s="90"/>
      <c r="ON11" s="90"/>
      <c r="OO11" s="90"/>
    </row>
    <row r="12" spans="1:955" x14ac:dyDescent="0.25"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103"/>
      <c r="JX12" s="475"/>
      <c r="JY12" s="108"/>
      <c r="JZ12" s="7"/>
      <c r="KD12" s="90"/>
      <c r="KE12" s="90"/>
      <c r="KF12" s="90"/>
      <c r="KG12" s="90"/>
      <c r="KH12" s="90"/>
      <c r="KI12" s="90"/>
      <c r="KJ12" s="90"/>
      <c r="KK12" s="90"/>
      <c r="KL12" s="90"/>
      <c r="KM12" s="90"/>
      <c r="KN12" s="90"/>
      <c r="KO12" s="90"/>
      <c r="KP12" s="90"/>
      <c r="KQ12" s="90"/>
      <c r="KR12" s="90"/>
      <c r="KS12" s="90"/>
      <c r="KT12" s="90"/>
      <c r="KU12" s="90"/>
      <c r="KV12" s="90"/>
      <c r="KW12" s="90"/>
      <c r="KX12" s="90"/>
      <c r="KY12" s="90"/>
      <c r="KZ12" s="90"/>
      <c r="LA12" s="90"/>
      <c r="LB12" s="90"/>
      <c r="LC12" s="90"/>
      <c r="LD12" s="90"/>
      <c r="LE12" s="90"/>
      <c r="LF12" s="90"/>
      <c r="LG12" s="90"/>
      <c r="LH12" s="90"/>
      <c r="LI12" s="90"/>
      <c r="LJ12" s="90"/>
      <c r="LK12" s="90"/>
      <c r="LL12" s="90"/>
      <c r="LM12" s="90"/>
      <c r="LN12" s="90"/>
      <c r="LO12" s="90"/>
      <c r="LP12" s="90"/>
      <c r="LQ12" s="90"/>
      <c r="LR12" s="90"/>
      <c r="LS12" s="90"/>
      <c r="LT12" s="90"/>
      <c r="LU12" s="90"/>
      <c r="LV12" s="90"/>
      <c r="LW12" s="90"/>
      <c r="LX12" s="90"/>
      <c r="LY12" s="90"/>
      <c r="LZ12" s="90"/>
      <c r="MA12" s="90"/>
      <c r="MB12" s="90"/>
      <c r="MC12" s="90"/>
      <c r="MD12" s="90"/>
      <c r="ME12" s="90"/>
      <c r="MF12" s="90"/>
      <c r="MG12" s="90"/>
      <c r="MH12" s="90"/>
      <c r="MI12" s="90"/>
      <c r="MJ12" s="90"/>
      <c r="MK12" s="90"/>
      <c r="ML12" s="90"/>
      <c r="MM12" s="90"/>
      <c r="MN12" s="90"/>
      <c r="MO12" s="90"/>
      <c r="MP12" s="90"/>
      <c r="MQ12" s="90"/>
      <c r="MR12" s="90"/>
      <c r="MS12" s="90"/>
      <c r="MT12" s="90"/>
      <c r="MU12" s="90"/>
      <c r="MV12" s="90"/>
      <c r="MW12" s="90"/>
      <c r="MX12" s="90"/>
      <c r="MY12" s="90"/>
      <c r="MZ12" s="90"/>
      <c r="NA12" s="90"/>
      <c r="NB12" s="90"/>
      <c r="NC12" s="90"/>
      <c r="ND12" s="90"/>
      <c r="NE12" s="90"/>
      <c r="NF12" s="90"/>
      <c r="NG12" s="90"/>
      <c r="NH12" s="90"/>
      <c r="NI12" s="90"/>
      <c r="NJ12" s="90"/>
      <c r="NK12" s="90"/>
      <c r="NL12" s="90"/>
      <c r="NM12" s="90"/>
      <c r="NN12" s="90"/>
      <c r="NO12" s="90"/>
      <c r="NP12" s="90"/>
      <c r="NQ12" s="90"/>
      <c r="NR12" s="90"/>
      <c r="NS12" s="90"/>
      <c r="NT12" s="90"/>
      <c r="NU12" s="90"/>
      <c r="NV12" s="90"/>
      <c r="NW12" s="90"/>
      <c r="NX12" s="90"/>
      <c r="NY12" s="90"/>
      <c r="NZ12" s="90"/>
      <c r="OA12" s="90"/>
      <c r="OB12" s="90"/>
      <c r="OC12" s="90"/>
      <c r="OD12" s="90"/>
      <c r="OE12" s="90"/>
      <c r="OF12" s="90"/>
      <c r="OG12" s="90"/>
      <c r="OH12" s="90"/>
      <c r="OI12" s="90"/>
      <c r="OJ12" s="90"/>
      <c r="OK12" s="90"/>
      <c r="OL12" s="90"/>
      <c r="OM12" s="90"/>
      <c r="ON12" s="90"/>
      <c r="OO12" s="90"/>
    </row>
    <row r="13" spans="1:955" x14ac:dyDescent="0.25"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103"/>
      <c r="JX13" s="475"/>
      <c r="JY13" s="108"/>
      <c r="JZ13" s="7"/>
      <c r="KD13" s="90"/>
      <c r="KE13" s="90"/>
      <c r="KF13" s="90"/>
      <c r="KG13" s="90"/>
      <c r="KH13" s="90"/>
      <c r="KI13" s="90"/>
      <c r="KJ13" s="90"/>
      <c r="KK13" s="90"/>
      <c r="KL13" s="90"/>
      <c r="KM13" s="90"/>
      <c r="KN13" s="90"/>
      <c r="KO13" s="90"/>
      <c r="KP13" s="90"/>
      <c r="KQ13" s="90"/>
      <c r="KR13" s="90"/>
      <c r="KS13" s="90"/>
      <c r="KT13" s="90"/>
      <c r="KU13" s="90"/>
      <c r="KV13" s="90"/>
      <c r="KW13" s="90"/>
      <c r="KX13" s="90"/>
      <c r="KY13" s="90"/>
      <c r="KZ13" s="90"/>
      <c r="LA13" s="90"/>
      <c r="LB13" s="90"/>
      <c r="LC13" s="90"/>
      <c r="LD13" s="90"/>
      <c r="LE13" s="90"/>
      <c r="LF13" s="90"/>
      <c r="LG13" s="90"/>
      <c r="LH13" s="90"/>
      <c r="LI13" s="90"/>
      <c r="LJ13" s="90"/>
      <c r="LK13" s="90"/>
      <c r="LL13" s="90"/>
      <c r="LM13" s="90"/>
      <c r="LN13" s="90"/>
      <c r="LO13" s="90"/>
      <c r="LP13" s="90"/>
      <c r="LQ13" s="90"/>
      <c r="LR13" s="90"/>
      <c r="LS13" s="90"/>
      <c r="LT13" s="90"/>
      <c r="LU13" s="90"/>
      <c r="LV13" s="90"/>
      <c r="LW13" s="90"/>
      <c r="LX13" s="90"/>
      <c r="LY13" s="90"/>
      <c r="LZ13" s="90"/>
      <c r="MA13" s="90"/>
      <c r="MB13" s="90"/>
      <c r="MC13" s="90"/>
      <c r="MD13" s="90"/>
      <c r="ME13" s="90"/>
      <c r="MF13" s="90"/>
      <c r="MG13" s="90"/>
      <c r="MH13" s="90"/>
      <c r="MI13" s="90"/>
      <c r="MJ13" s="90"/>
      <c r="MK13" s="90"/>
      <c r="ML13" s="90"/>
      <c r="MM13" s="90"/>
      <c r="MN13" s="90"/>
      <c r="MO13" s="90"/>
      <c r="MP13" s="90"/>
      <c r="MQ13" s="90"/>
      <c r="MR13" s="90"/>
      <c r="MS13" s="90"/>
      <c r="MT13" s="90"/>
      <c r="MU13" s="90"/>
      <c r="MV13" s="90"/>
      <c r="MW13" s="90"/>
      <c r="MX13" s="90"/>
      <c r="MY13" s="90"/>
      <c r="MZ13" s="90"/>
      <c r="NA13" s="90"/>
      <c r="NB13" s="90"/>
      <c r="NC13" s="90"/>
      <c r="ND13" s="90"/>
      <c r="NE13" s="90"/>
      <c r="NF13" s="90"/>
      <c r="NG13" s="90"/>
      <c r="NH13" s="90"/>
      <c r="NI13" s="90"/>
      <c r="NJ13" s="90"/>
      <c r="NK13" s="90"/>
      <c r="NL13" s="90"/>
      <c r="NM13" s="90"/>
      <c r="NN13" s="90"/>
      <c r="NO13" s="90"/>
      <c r="NP13" s="90"/>
      <c r="NQ13" s="90"/>
      <c r="NR13" s="90"/>
      <c r="NS13" s="90"/>
      <c r="NT13" s="90"/>
      <c r="NU13" s="90"/>
      <c r="NV13" s="90"/>
      <c r="NW13" s="90"/>
      <c r="NX13" s="90"/>
      <c r="NY13" s="90"/>
      <c r="NZ13" s="90"/>
      <c r="OA13" s="90"/>
      <c r="OB13" s="90"/>
      <c r="OC13" s="90"/>
      <c r="OD13" s="90"/>
      <c r="OE13" s="90"/>
      <c r="OF13" s="90"/>
      <c r="OG13" s="90"/>
      <c r="OH13" s="90"/>
      <c r="OI13" s="90"/>
      <c r="OJ13" s="90"/>
      <c r="OK13" s="90"/>
      <c r="OL13" s="90"/>
      <c r="OM13" s="90"/>
      <c r="ON13" s="90"/>
      <c r="OO13" s="90"/>
    </row>
    <row r="14" spans="1:955" x14ac:dyDescent="0.25">
      <c r="EX14" s="7"/>
      <c r="EY14" s="7"/>
      <c r="EZ14" s="7"/>
      <c r="FA14" s="7"/>
      <c r="FB14" s="7"/>
      <c r="FC14" s="7"/>
      <c r="FD14" s="7">
        <v>1018</v>
      </c>
      <c r="FE14" s="7">
        <v>1094</v>
      </c>
      <c r="FF14" s="7">
        <v>1094</v>
      </c>
      <c r="FG14" s="7">
        <v>1080</v>
      </c>
      <c r="FH14" s="7">
        <v>1080</v>
      </c>
      <c r="FI14" s="7">
        <v>1074</v>
      </c>
      <c r="FJ14" s="7">
        <v>1148</v>
      </c>
      <c r="FK14" s="7">
        <v>1148</v>
      </c>
      <c r="FL14" s="7">
        <v>1108</v>
      </c>
      <c r="FM14" s="7">
        <v>1108</v>
      </c>
      <c r="FN14" s="7">
        <v>1105</v>
      </c>
      <c r="FO14" s="7">
        <v>1099</v>
      </c>
      <c r="FP14" s="7">
        <v>1052</v>
      </c>
      <c r="FQ14" s="7">
        <v>1045</v>
      </c>
      <c r="FR14" s="7">
        <v>1332</v>
      </c>
      <c r="FS14" s="7">
        <v>1280</v>
      </c>
      <c r="FT14" s="7">
        <v>1280</v>
      </c>
      <c r="FU14" s="7">
        <v>1280</v>
      </c>
      <c r="FV14" s="7">
        <v>1204</v>
      </c>
      <c r="FW14" s="7">
        <v>1154</v>
      </c>
      <c r="FX14" s="7">
        <v>1154</v>
      </c>
      <c r="FY14" s="7">
        <v>1154</v>
      </c>
      <c r="FZ14" s="7">
        <v>1087</v>
      </c>
      <c r="GA14" s="7">
        <v>1273</v>
      </c>
      <c r="GB14" s="7">
        <v>1273</v>
      </c>
      <c r="GC14" s="7">
        <v>1273</v>
      </c>
      <c r="GD14" s="7">
        <v>1441</v>
      </c>
      <c r="GE14" s="7">
        <v>1469</v>
      </c>
      <c r="GF14" s="7">
        <v>1469</v>
      </c>
      <c r="GG14" s="7">
        <v>1451</v>
      </c>
      <c r="GH14" s="7">
        <v>1514</v>
      </c>
      <c r="GI14" s="7">
        <v>1644</v>
      </c>
      <c r="GJ14" s="7">
        <v>1644</v>
      </c>
      <c r="GK14" s="7">
        <v>1527</v>
      </c>
      <c r="GL14" s="7">
        <v>1426</v>
      </c>
      <c r="GM14" s="7">
        <v>1426</v>
      </c>
      <c r="GN14" s="7">
        <v>1426</v>
      </c>
      <c r="GO14" s="7">
        <v>1426</v>
      </c>
      <c r="GP14" s="7">
        <v>1426</v>
      </c>
      <c r="GQ14" s="7">
        <v>1426</v>
      </c>
      <c r="GR14" s="7">
        <v>1553</v>
      </c>
      <c r="GS14" s="7">
        <v>1553</v>
      </c>
      <c r="GT14" s="7">
        <v>1483</v>
      </c>
      <c r="GU14" s="7">
        <v>1483</v>
      </c>
      <c r="GV14" s="7">
        <v>1483</v>
      </c>
      <c r="GW14" s="7">
        <v>1483</v>
      </c>
      <c r="GX14" s="7">
        <v>1287</v>
      </c>
      <c r="GY14" s="7">
        <v>1306</v>
      </c>
      <c r="GZ14" s="7">
        <v>1306</v>
      </c>
      <c r="HA14" s="7">
        <v>1352</v>
      </c>
      <c r="HB14" s="7">
        <v>1352</v>
      </c>
      <c r="HC14" s="7">
        <v>1352</v>
      </c>
      <c r="HD14" s="7">
        <v>1401</v>
      </c>
      <c r="HE14" s="7">
        <v>1317</v>
      </c>
      <c r="HF14" s="7">
        <v>1317</v>
      </c>
      <c r="HG14" s="7">
        <v>1317</v>
      </c>
      <c r="HH14" s="7">
        <v>1157</v>
      </c>
      <c r="HI14" s="7">
        <v>1157</v>
      </c>
      <c r="HJ14" s="7">
        <v>1029</v>
      </c>
      <c r="HK14" s="7">
        <v>1083</v>
      </c>
      <c r="HL14" s="7">
        <v>1083</v>
      </c>
      <c r="HM14" s="7">
        <v>1083</v>
      </c>
      <c r="HN14" s="7">
        <v>1083</v>
      </c>
      <c r="HO14" s="7">
        <v>1083</v>
      </c>
      <c r="HP14" s="7">
        <v>845</v>
      </c>
      <c r="HQ14" s="7">
        <v>845</v>
      </c>
      <c r="HR14" s="7">
        <v>778</v>
      </c>
      <c r="HS14" s="7">
        <v>778</v>
      </c>
      <c r="HT14" s="7">
        <v>942</v>
      </c>
      <c r="HU14" s="7">
        <v>942</v>
      </c>
      <c r="HV14" s="7">
        <v>909</v>
      </c>
      <c r="HW14" s="7">
        <v>967</v>
      </c>
      <c r="HX14" s="7">
        <v>967</v>
      </c>
      <c r="HY14" s="7">
        <v>967</v>
      </c>
      <c r="HZ14" s="7">
        <v>925</v>
      </c>
      <c r="IA14" s="7">
        <v>947</v>
      </c>
      <c r="IB14" s="7">
        <v>887</v>
      </c>
      <c r="IC14" s="7">
        <v>887</v>
      </c>
      <c r="ID14" s="7">
        <v>887</v>
      </c>
      <c r="IE14" s="7">
        <v>887</v>
      </c>
      <c r="IF14" s="7">
        <v>863</v>
      </c>
      <c r="IG14" s="7">
        <v>863</v>
      </c>
      <c r="IH14" s="7">
        <v>863</v>
      </c>
      <c r="II14" s="7">
        <v>976</v>
      </c>
      <c r="IJ14" s="7">
        <v>976</v>
      </c>
      <c r="IK14" s="7">
        <v>1024</v>
      </c>
      <c r="IL14" s="7">
        <v>1335</v>
      </c>
      <c r="IM14" s="7">
        <v>1335</v>
      </c>
      <c r="IN14" s="7">
        <v>929</v>
      </c>
      <c r="IO14" s="7">
        <v>929</v>
      </c>
      <c r="IP14" s="7">
        <v>753</v>
      </c>
      <c r="IQ14" s="7">
        <v>753</v>
      </c>
      <c r="IR14" s="7">
        <v>753</v>
      </c>
      <c r="IS14" s="7">
        <v>753</v>
      </c>
      <c r="IT14" s="7">
        <v>753</v>
      </c>
      <c r="IU14" s="7">
        <v>753</v>
      </c>
      <c r="IV14" s="7">
        <v>753</v>
      </c>
      <c r="IW14" s="7">
        <v>753</v>
      </c>
      <c r="IX14" s="7">
        <v>836</v>
      </c>
      <c r="IY14" s="7">
        <v>836</v>
      </c>
      <c r="IZ14" s="7">
        <v>562</v>
      </c>
      <c r="JA14" s="7">
        <v>679</v>
      </c>
      <c r="JB14" s="7">
        <v>679</v>
      </c>
      <c r="JC14" s="7">
        <v>679</v>
      </c>
      <c r="JD14" s="7">
        <v>704</v>
      </c>
      <c r="JE14" s="7">
        <v>704</v>
      </c>
      <c r="JF14" s="7">
        <v>704</v>
      </c>
      <c r="JG14" s="7">
        <v>513</v>
      </c>
      <c r="JH14" s="7">
        <v>533</v>
      </c>
      <c r="JI14" s="7">
        <v>532</v>
      </c>
      <c r="JJ14" s="7">
        <v>532</v>
      </c>
      <c r="JK14" s="7">
        <v>470</v>
      </c>
      <c r="JL14" s="7">
        <v>470</v>
      </c>
      <c r="JM14" s="7">
        <v>470</v>
      </c>
      <c r="JN14" s="7">
        <v>470</v>
      </c>
      <c r="JO14" s="7">
        <v>510</v>
      </c>
      <c r="JP14" s="7">
        <v>482</v>
      </c>
      <c r="JQ14" s="7">
        <v>479</v>
      </c>
      <c r="JR14" s="7">
        <v>481</v>
      </c>
      <c r="JS14" s="7">
        <v>445</v>
      </c>
      <c r="JT14" s="7">
        <v>445</v>
      </c>
      <c r="JU14" s="7">
        <v>515</v>
      </c>
      <c r="JV14" s="7">
        <v>570</v>
      </c>
      <c r="JW14" s="103">
        <v>524</v>
      </c>
      <c r="JX14" s="476"/>
      <c r="JY14" s="24" t="s">
        <v>82</v>
      </c>
      <c r="JZ14" s="7" t="s">
        <v>132</v>
      </c>
      <c r="KD14" s="90"/>
      <c r="KE14" s="90"/>
      <c r="KF14" s="90"/>
      <c r="KG14" s="90"/>
      <c r="KH14" s="90"/>
      <c r="KI14" s="90"/>
      <c r="KJ14" s="90"/>
      <c r="KK14" s="90"/>
      <c r="KL14" s="331"/>
      <c r="KM14" s="90"/>
      <c r="KN14" s="90"/>
      <c r="KO14" s="90"/>
      <c r="KP14" s="90"/>
      <c r="KQ14" s="90"/>
      <c r="KR14" s="90"/>
      <c r="KS14" s="90"/>
      <c r="KT14" s="90"/>
      <c r="KU14" s="90"/>
      <c r="KV14" s="90"/>
      <c r="KW14" s="90"/>
      <c r="KX14" s="90"/>
      <c r="KY14" s="90"/>
      <c r="KZ14" s="90"/>
      <c r="LA14" s="90"/>
      <c r="LB14" s="90"/>
      <c r="LC14" s="90"/>
      <c r="LD14" s="90"/>
      <c r="LE14" s="90"/>
      <c r="LF14" s="90"/>
      <c r="LG14" s="90"/>
      <c r="LH14" s="90"/>
      <c r="LI14" s="90"/>
      <c r="LJ14" s="90"/>
      <c r="LK14" s="90"/>
      <c r="LL14" s="90"/>
      <c r="LM14" s="90"/>
      <c r="LN14" s="90"/>
      <c r="LO14" s="90"/>
      <c r="LP14" s="90"/>
      <c r="LQ14" s="90"/>
      <c r="LR14" s="90"/>
      <c r="LS14" s="90"/>
      <c r="LT14" s="90"/>
      <c r="LU14" s="90"/>
      <c r="LV14" s="90"/>
      <c r="LW14" s="90"/>
      <c r="LX14" s="90"/>
      <c r="LY14" s="90"/>
      <c r="LZ14" s="90"/>
      <c r="MA14" s="90"/>
      <c r="MB14" s="90"/>
      <c r="MC14" s="90"/>
      <c r="MD14" s="90"/>
      <c r="ME14" s="90"/>
      <c r="MF14" s="90"/>
      <c r="MG14" s="90"/>
      <c r="MH14" s="90"/>
      <c r="MI14" s="90"/>
      <c r="MJ14" s="90"/>
      <c r="MK14" s="90"/>
      <c r="ML14" s="90"/>
      <c r="MM14" s="90"/>
      <c r="MN14" s="90"/>
      <c r="MO14" s="90"/>
      <c r="MP14" s="90"/>
      <c r="MQ14" s="90"/>
      <c r="MR14" s="90"/>
      <c r="MS14" s="90"/>
      <c r="MT14" s="90"/>
      <c r="MU14" s="90"/>
      <c r="MV14" s="90"/>
      <c r="MW14" s="90"/>
      <c r="MX14" s="90"/>
      <c r="MY14" s="90"/>
      <c r="MZ14" s="90"/>
      <c r="NA14" s="90"/>
      <c r="NB14" s="90"/>
      <c r="NC14" s="90"/>
      <c r="ND14" s="90"/>
      <c r="NE14" s="90"/>
      <c r="NF14" s="90"/>
      <c r="NG14" s="90"/>
      <c r="NH14" s="90"/>
      <c r="NI14" s="90"/>
      <c r="NJ14" s="90"/>
      <c r="NK14" s="90"/>
      <c r="NL14" s="90"/>
      <c r="NM14" s="90"/>
      <c r="NN14" s="90"/>
      <c r="NO14" s="90"/>
      <c r="NP14" s="90"/>
      <c r="NQ14" s="90"/>
      <c r="NR14" s="90"/>
      <c r="NS14" s="90"/>
      <c r="NT14" s="90"/>
      <c r="NU14" s="90" t="s">
        <v>76</v>
      </c>
      <c r="NV14" s="90"/>
      <c r="NW14" s="90"/>
      <c r="NX14" s="90"/>
      <c r="NY14" s="90"/>
      <c r="NZ14" s="90"/>
      <c r="OA14" s="90"/>
      <c r="OB14" s="90"/>
      <c r="OC14" s="90"/>
      <c r="OD14" s="90"/>
      <c r="OE14" s="90"/>
      <c r="OF14" s="90"/>
      <c r="OG14" s="90"/>
      <c r="OH14" s="90"/>
      <c r="OI14" s="90"/>
      <c r="OJ14" s="90"/>
      <c r="OK14" s="90"/>
      <c r="OL14" s="90"/>
      <c r="OM14" s="90"/>
      <c r="ON14" s="90"/>
      <c r="OO14" s="90"/>
      <c r="OP14" s="90"/>
      <c r="OQ14" s="90"/>
      <c r="OR14" s="90"/>
      <c r="OS14" s="90"/>
      <c r="OT14" s="90"/>
      <c r="OU14" s="90"/>
      <c r="OV14" s="90"/>
      <c r="AFB14" s="331"/>
      <c r="AII14" s="106"/>
      <c r="AIJ14"/>
      <c r="AIK14" s="90"/>
      <c r="AIO14" s="15"/>
      <c r="AIV14" s="50"/>
      <c r="AIZ14"/>
    </row>
    <row r="15" spans="1:955" x14ac:dyDescent="0.25">
      <c r="KD15" s="90"/>
      <c r="KE15" s="90"/>
      <c r="KF15" s="90"/>
      <c r="KG15" s="90"/>
      <c r="KH15" s="90"/>
      <c r="KI15" s="124"/>
      <c r="KJ15" s="124"/>
      <c r="KK15" s="124"/>
      <c r="KL15" s="331"/>
      <c r="KM15" s="124"/>
      <c r="KN15" s="124"/>
      <c r="KO15" s="124"/>
      <c r="KP15" s="124"/>
      <c r="KQ15" s="124"/>
      <c r="KR15" s="124"/>
      <c r="KS15" s="124"/>
      <c r="KT15" s="124"/>
      <c r="KU15" s="124"/>
      <c r="KV15" s="124"/>
      <c r="KW15" s="124"/>
      <c r="KX15" s="124"/>
      <c r="KY15" s="124"/>
      <c r="KZ15" s="124"/>
      <c r="LA15" s="124"/>
      <c r="LB15" s="124"/>
      <c r="LC15" s="124"/>
      <c r="LD15" s="124"/>
      <c r="LE15" s="124"/>
      <c r="LF15" s="124"/>
      <c r="LG15" s="124"/>
      <c r="LH15" s="124"/>
      <c r="LI15" s="124"/>
      <c r="LJ15" s="124"/>
      <c r="LK15" s="124"/>
      <c r="LL15" s="124"/>
      <c r="LM15" s="124"/>
      <c r="LN15" s="124"/>
      <c r="LO15" s="124"/>
      <c r="LP15" s="124"/>
      <c r="LQ15" s="124"/>
      <c r="LR15" s="124"/>
      <c r="LS15" s="124"/>
      <c r="LT15" s="124"/>
      <c r="LU15" s="124"/>
      <c r="LV15" s="124"/>
      <c r="LW15" s="124"/>
      <c r="LX15" s="124"/>
      <c r="LY15" s="124"/>
      <c r="LZ15" s="124"/>
      <c r="MA15" s="124"/>
      <c r="MB15" s="124"/>
      <c r="MC15" s="124"/>
      <c r="MD15" s="124"/>
      <c r="ME15" s="124"/>
      <c r="MF15" s="90"/>
      <c r="MG15" s="90"/>
      <c r="MH15" s="90"/>
      <c r="MI15" s="124"/>
      <c r="MJ15" s="124"/>
      <c r="MK15" s="124"/>
      <c r="ML15" s="124"/>
      <c r="MM15" s="124"/>
      <c r="MN15" s="124"/>
      <c r="MO15" s="124"/>
      <c r="MP15" s="124"/>
      <c r="MQ15" s="124"/>
      <c r="MR15" s="124"/>
      <c r="MS15" s="124"/>
      <c r="MT15" s="124"/>
      <c r="MU15" s="124"/>
      <c r="MV15" s="124"/>
      <c r="MW15" s="124"/>
      <c r="MX15" s="124"/>
      <c r="MY15" s="124"/>
      <c r="MZ15" s="124"/>
      <c r="NA15" s="124"/>
      <c r="NB15" s="124"/>
      <c r="NC15" s="124"/>
      <c r="ND15" s="124"/>
      <c r="NE15" s="124"/>
      <c r="NF15" s="124"/>
      <c r="NG15" s="124"/>
      <c r="NH15" s="124"/>
      <c r="NI15" s="124"/>
      <c r="NJ15" s="124"/>
      <c r="NK15" s="124"/>
      <c r="NL15" s="124"/>
      <c r="NM15" s="124"/>
      <c r="NN15" s="124"/>
      <c r="NO15" s="124"/>
      <c r="NP15" s="124"/>
      <c r="NQ15" s="124"/>
      <c r="NR15" s="124"/>
      <c r="NS15" s="124"/>
      <c r="NT15" s="124"/>
      <c r="NU15" s="124"/>
      <c r="NV15" s="124"/>
      <c r="NW15" s="124"/>
      <c r="NX15" s="124"/>
      <c r="NY15" s="124"/>
      <c r="NZ15" s="124"/>
      <c r="OA15" s="124"/>
      <c r="OB15" s="124"/>
      <c r="OC15" s="124"/>
      <c r="OD15" s="124"/>
      <c r="OE15" s="124"/>
      <c r="OF15" s="124"/>
      <c r="OG15" s="124"/>
      <c r="OH15" s="124"/>
      <c r="OI15" s="124"/>
      <c r="OJ15" s="124"/>
      <c r="OK15" s="124"/>
      <c r="OL15" s="124"/>
      <c r="OM15" s="124"/>
      <c r="ON15" s="124"/>
      <c r="OO15" s="124"/>
      <c r="OP15" s="90"/>
      <c r="OQ15" s="90"/>
      <c r="OR15" s="90"/>
      <c r="OS15" s="90"/>
      <c r="OT15" s="90"/>
      <c r="OU15" s="90"/>
      <c r="OV15" s="90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II15" s="111"/>
      <c r="AIJ15"/>
      <c r="AIV15" s="50"/>
      <c r="AIZ15"/>
    </row>
    <row r="16" spans="1:955" x14ac:dyDescent="0.25">
      <c r="KD16" s="90"/>
      <c r="KE16" s="90"/>
      <c r="KF16" s="90"/>
      <c r="KG16" s="90"/>
      <c r="KH16" s="90"/>
      <c r="KI16" s="124"/>
      <c r="KJ16" s="124"/>
      <c r="KK16" s="124"/>
      <c r="KL16" s="124"/>
      <c r="KM16" s="124"/>
      <c r="KN16" s="124"/>
      <c r="KO16" s="124"/>
      <c r="KP16" s="124"/>
      <c r="KQ16" s="124"/>
      <c r="KR16" s="124"/>
      <c r="KS16" s="124"/>
      <c r="KT16" s="124"/>
      <c r="KU16" s="124"/>
      <c r="KV16" s="124"/>
      <c r="KW16" s="124"/>
      <c r="KX16" s="132"/>
      <c r="KY16" s="132"/>
      <c r="KZ16" s="132"/>
      <c r="LA16" s="132"/>
      <c r="LB16" s="132"/>
      <c r="LC16" s="132"/>
      <c r="LD16" s="132"/>
      <c r="LE16" s="132"/>
      <c r="LF16" s="132"/>
      <c r="LG16" s="132"/>
      <c r="LH16" s="132"/>
      <c r="LI16" s="132"/>
      <c r="LJ16" s="132"/>
      <c r="LK16" s="132"/>
      <c r="LL16" s="132"/>
      <c r="LM16" s="132"/>
      <c r="LN16" s="132"/>
      <c r="LO16" s="132"/>
      <c r="LP16" s="132"/>
      <c r="LQ16" s="132"/>
      <c r="LR16" s="132"/>
      <c r="LS16" s="132"/>
      <c r="LT16" s="132"/>
      <c r="LU16" s="132"/>
      <c r="LV16" s="132"/>
      <c r="LW16" s="132"/>
      <c r="LX16" s="132"/>
      <c r="LY16" s="132"/>
      <c r="LZ16" s="132"/>
      <c r="MA16" s="132"/>
      <c r="MB16" s="132"/>
      <c r="MC16" s="132"/>
      <c r="MD16" s="132"/>
      <c r="ME16" s="132"/>
      <c r="MF16" s="90"/>
      <c r="MG16" s="90"/>
      <c r="MH16" s="90"/>
      <c r="MI16" s="132"/>
      <c r="MJ16" s="132"/>
      <c r="MK16" s="132"/>
      <c r="ML16" s="132"/>
      <c r="MM16" s="132"/>
      <c r="MN16" s="132"/>
      <c r="MO16" s="132"/>
      <c r="MP16" s="132"/>
      <c r="MQ16" s="132"/>
      <c r="MR16" s="132"/>
      <c r="MS16" s="132"/>
      <c r="MT16" s="132"/>
      <c r="MU16" s="132"/>
      <c r="MV16" s="132"/>
      <c r="MW16" s="132"/>
      <c r="MX16" s="132"/>
      <c r="MY16" s="132"/>
      <c r="MZ16" s="132"/>
      <c r="NA16" s="132"/>
      <c r="NB16" s="132"/>
      <c r="NC16" s="132"/>
      <c r="ND16" s="132"/>
      <c r="NE16" s="132"/>
      <c r="NF16" s="132"/>
      <c r="NG16" s="132"/>
      <c r="NH16" s="132"/>
      <c r="NI16" s="132"/>
      <c r="NJ16" s="132"/>
      <c r="NK16" s="132"/>
      <c r="NL16" s="132"/>
      <c r="NM16" s="132"/>
      <c r="NN16" s="132"/>
      <c r="NO16" s="132"/>
      <c r="NP16" s="132"/>
      <c r="NQ16" s="132"/>
      <c r="NR16" s="132"/>
      <c r="NS16" s="132"/>
      <c r="NT16" s="132"/>
      <c r="NU16" s="132"/>
      <c r="NV16" s="132"/>
      <c r="NW16" s="132"/>
      <c r="NX16" s="132"/>
      <c r="NY16" s="132"/>
      <c r="NZ16" s="132"/>
      <c r="OA16" s="132"/>
      <c r="OB16" s="132"/>
      <c r="OC16" s="132"/>
      <c r="OD16" s="132"/>
      <c r="OE16" s="132"/>
      <c r="OF16" s="132"/>
      <c r="OG16" s="132"/>
      <c r="OH16" s="132"/>
      <c r="OI16" s="132"/>
      <c r="OJ16" s="132"/>
      <c r="OK16" s="132"/>
      <c r="OL16" s="132"/>
      <c r="OM16" s="132"/>
      <c r="ON16" s="132"/>
      <c r="OO16" s="132"/>
      <c r="AIJ16" s="106"/>
      <c r="AIL16" s="90"/>
      <c r="AIP16" s="15"/>
    </row>
    <row r="17" spans="1:926" x14ac:dyDescent="0.25">
      <c r="KD17" s="90"/>
      <c r="KE17" s="90"/>
      <c r="KF17" s="90"/>
      <c r="KG17" s="90"/>
      <c r="KH17" s="90"/>
      <c r="KI17" s="90"/>
      <c r="KJ17" s="90"/>
      <c r="KK17" s="90"/>
      <c r="KL17" s="90"/>
      <c r="KM17" s="90"/>
      <c r="KN17" s="90"/>
      <c r="KO17" s="90"/>
      <c r="KP17" s="90"/>
      <c r="KQ17" s="90"/>
      <c r="KR17" s="90"/>
      <c r="KS17" s="90"/>
      <c r="KT17" s="90"/>
      <c r="KU17" s="90"/>
      <c r="KV17" s="90"/>
      <c r="KW17" s="90"/>
      <c r="KX17" s="90"/>
      <c r="KY17" s="90"/>
      <c r="KZ17" s="90"/>
      <c r="LA17" s="90"/>
      <c r="LB17" s="90"/>
      <c r="LC17" s="90"/>
      <c r="LD17" s="90"/>
      <c r="LE17" s="90"/>
      <c r="LF17" s="90"/>
      <c r="LG17" s="90"/>
      <c r="LH17" s="90"/>
      <c r="LI17" s="90"/>
      <c r="LJ17" s="90"/>
      <c r="LK17" s="90"/>
      <c r="LL17" s="90"/>
      <c r="LM17" s="90"/>
      <c r="LN17" s="90"/>
      <c r="LO17" s="90"/>
      <c r="LP17" s="90"/>
      <c r="LQ17" s="90"/>
      <c r="LR17" s="90"/>
      <c r="LS17" s="90"/>
      <c r="LT17" s="90"/>
      <c r="LU17" s="90"/>
      <c r="LV17" s="90"/>
      <c r="LW17" s="90"/>
      <c r="LX17" s="90"/>
      <c r="LY17" s="90"/>
      <c r="LZ17" s="90"/>
      <c r="MA17" s="90"/>
      <c r="MB17" s="90"/>
      <c r="MC17" s="90"/>
      <c r="MD17" s="90"/>
      <c r="ME17" s="90"/>
      <c r="MF17" s="90"/>
      <c r="MG17" s="90"/>
      <c r="MH17" s="90"/>
      <c r="MI17" s="90"/>
      <c r="MJ17" s="90"/>
      <c r="MK17" s="90"/>
      <c r="ML17" s="90"/>
      <c r="MM17" s="90"/>
      <c r="MN17" s="90"/>
      <c r="MO17" s="90"/>
      <c r="MP17" s="90"/>
      <c r="MQ17" s="90"/>
      <c r="MR17" s="90"/>
      <c r="MS17" s="90"/>
      <c r="MT17" s="90"/>
      <c r="MU17" s="90"/>
      <c r="MV17" s="90"/>
      <c r="MW17" s="90"/>
      <c r="MX17" s="90"/>
      <c r="MY17" s="90"/>
      <c r="MZ17" s="90"/>
      <c r="NA17" s="90"/>
      <c r="NB17" s="90"/>
      <c r="NC17" s="90"/>
      <c r="ND17" s="90"/>
      <c r="NE17" s="90"/>
      <c r="NF17" s="90"/>
      <c r="NG17" s="90"/>
      <c r="NH17" s="90"/>
      <c r="NI17" s="90"/>
      <c r="NJ17" s="90"/>
      <c r="NK17" s="90"/>
      <c r="NL17" s="90"/>
      <c r="NM17" s="90"/>
      <c r="NN17" s="90"/>
      <c r="NO17" s="90"/>
      <c r="NP17" s="90"/>
      <c r="NQ17" s="90"/>
      <c r="NR17" s="90"/>
      <c r="NS17" s="90"/>
      <c r="NT17" s="90"/>
      <c r="NU17" s="90"/>
      <c r="NV17" s="90"/>
      <c r="NW17" s="90"/>
      <c r="NX17" s="90"/>
      <c r="NY17" s="90"/>
      <c r="NZ17" s="90"/>
      <c r="OA17" s="90"/>
      <c r="OB17" s="90"/>
      <c r="OC17" s="90"/>
      <c r="OD17" s="90"/>
      <c r="OE17" s="90"/>
      <c r="OF17" s="90"/>
      <c r="OG17" s="90"/>
      <c r="OH17" s="90"/>
      <c r="OI17" s="90"/>
      <c r="OJ17" s="90"/>
      <c r="OK17" s="90"/>
      <c r="OL17" s="90"/>
      <c r="OM17" s="90"/>
      <c r="ON17" s="90"/>
      <c r="OO17" s="90"/>
      <c r="OP17" s="90"/>
      <c r="OQ17" s="90"/>
      <c r="OR17" s="90"/>
      <c r="OS17" s="90"/>
      <c r="OT17" s="90"/>
      <c r="OU17" s="90"/>
      <c r="OV17" s="90"/>
      <c r="AIJ17" s="106"/>
      <c r="AIL17" s="90"/>
      <c r="AIP17" s="15"/>
    </row>
    <row r="18" spans="1:926" ht="9" customHeight="1" x14ac:dyDescent="0.25">
      <c r="GG18" s="75" t="s">
        <v>136</v>
      </c>
      <c r="JF18" s="100"/>
      <c r="JG18" s="100"/>
      <c r="JH18" s="100"/>
      <c r="JI18" s="100"/>
      <c r="JJ18" s="100"/>
      <c r="JK18" s="100"/>
      <c r="JL18" s="100"/>
      <c r="JM18" s="100"/>
      <c r="JN18" s="100"/>
      <c r="JO18" s="100"/>
      <c r="JP18" s="100"/>
      <c r="JQ18" s="100"/>
      <c r="JR18" s="100"/>
      <c r="JS18" s="100"/>
      <c r="JT18" s="100"/>
      <c r="JU18" s="100"/>
      <c r="JV18" s="100"/>
      <c r="JW18" s="100"/>
      <c r="JX18" s="100"/>
      <c r="JY18" s="100"/>
      <c r="JZ18" s="100"/>
      <c r="KA18" s="100"/>
      <c r="KB18" s="100"/>
      <c r="KC18" s="100"/>
      <c r="KJ18" s="4"/>
      <c r="KK18" s="15"/>
      <c r="KL18" s="4"/>
      <c r="MF18" s="90"/>
      <c r="MG18" s="90"/>
      <c r="MH18" s="90"/>
      <c r="AFC18" s="332"/>
    </row>
    <row r="19" spans="1:926" ht="9" customHeight="1" x14ac:dyDescent="0.25">
      <c r="S19" t="s">
        <v>137</v>
      </c>
      <c r="GG19" s="86" t="s">
        <v>83</v>
      </c>
      <c r="GH19" s="83" t="s">
        <v>46</v>
      </c>
      <c r="GI19" s="83" t="s">
        <v>48</v>
      </c>
      <c r="GJ19" s="83" t="s">
        <v>50</v>
      </c>
      <c r="GK19" s="83" t="s">
        <v>52</v>
      </c>
      <c r="KJ19" s="3"/>
      <c r="KK19" s="332"/>
      <c r="KL19" s="3"/>
      <c r="MF19" s="90"/>
      <c r="MG19" s="90"/>
      <c r="MH19" s="90"/>
    </row>
    <row r="20" spans="1:926" ht="18" customHeight="1" x14ac:dyDescent="0.25">
      <c r="S20" t="s">
        <v>138</v>
      </c>
      <c r="AP20" s="5" t="s">
        <v>44</v>
      </c>
      <c r="AQ20" s="5" t="s">
        <v>45</v>
      </c>
      <c r="AR20" s="12" t="s">
        <v>139</v>
      </c>
      <c r="AS20" s="6" t="s">
        <v>78</v>
      </c>
      <c r="AT20" s="6" t="s">
        <v>140</v>
      </c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84"/>
      <c r="FG20" s="84"/>
      <c r="FH20" s="84"/>
      <c r="FI20" s="84"/>
      <c r="FJ20" s="84"/>
      <c r="FK20" s="84"/>
      <c r="FL20" s="84"/>
      <c r="FM20" s="84"/>
      <c r="FN20" s="84"/>
      <c r="FO20" s="84"/>
      <c r="FP20" s="84"/>
      <c r="FQ20" s="84"/>
      <c r="FR20" s="84"/>
      <c r="FS20" s="84"/>
      <c r="FT20" s="84"/>
      <c r="FU20" s="84"/>
      <c r="FV20" s="84"/>
      <c r="FW20" s="84"/>
      <c r="FX20" s="84"/>
      <c r="FY20" s="84"/>
      <c r="FZ20" s="84"/>
      <c r="GA20" s="84"/>
      <c r="GB20" s="84"/>
      <c r="GC20" s="84"/>
      <c r="GD20" s="84"/>
      <c r="GE20" s="84"/>
      <c r="GF20" s="84"/>
      <c r="GG20" s="92">
        <f>FZ1</f>
        <v>43773</v>
      </c>
      <c r="GH20" s="10">
        <v>7445</v>
      </c>
      <c r="GI20" s="10">
        <f>9099-GK20-(2000*0.125*0)</f>
        <v>7704</v>
      </c>
      <c r="GJ20" s="7">
        <v>12652</v>
      </c>
      <c r="GK20" s="10">
        <v>1395</v>
      </c>
      <c r="GL20" s="84"/>
      <c r="GM20" s="84"/>
      <c r="GN20" s="84"/>
      <c r="GO20" s="84"/>
      <c r="GP20" s="84"/>
      <c r="GQ20" s="84"/>
      <c r="GR20" s="84"/>
      <c r="GS20" s="84"/>
      <c r="GT20" s="84"/>
      <c r="GU20" s="84"/>
      <c r="GV20" s="84"/>
      <c r="GW20" s="84"/>
      <c r="GX20" s="84"/>
      <c r="GY20" s="84"/>
      <c r="GZ20" s="84"/>
      <c r="HA20" s="84"/>
      <c r="HB20" s="84"/>
      <c r="HC20" s="84"/>
      <c r="HD20" s="84"/>
      <c r="HE20" s="84"/>
      <c r="HF20" s="84"/>
      <c r="HG20" s="84"/>
      <c r="HH20" s="84"/>
      <c r="HI20" s="84"/>
      <c r="HJ20" s="84"/>
      <c r="HK20" s="84"/>
      <c r="HL20" s="84"/>
      <c r="HM20" s="84"/>
      <c r="HN20" s="84"/>
      <c r="HO20" s="84"/>
      <c r="HP20" s="84"/>
      <c r="HQ20" s="84"/>
      <c r="HR20" s="84"/>
      <c r="HS20" s="84"/>
      <c r="HT20" s="84"/>
      <c r="HU20" s="84"/>
      <c r="HV20" s="84"/>
      <c r="HW20" s="84"/>
      <c r="HX20" s="84"/>
      <c r="HY20" s="84"/>
      <c r="HZ20" s="84"/>
      <c r="IA20" s="84"/>
      <c r="IB20" s="84"/>
      <c r="IC20" s="84"/>
      <c r="ID20" s="84"/>
      <c r="IE20" s="84"/>
      <c r="IF20" s="84"/>
      <c r="IG20" s="84"/>
      <c r="IH20" s="84"/>
      <c r="II20" s="84"/>
      <c r="IJ20" s="84"/>
      <c r="IK20" s="84"/>
      <c r="IL20" s="84"/>
      <c r="IM20" s="84"/>
      <c r="IN20" s="84"/>
      <c r="IO20" s="84"/>
      <c r="IP20" s="84"/>
      <c r="IQ20" s="84"/>
      <c r="IR20" s="84"/>
      <c r="IS20" s="84"/>
      <c r="IT20" s="84"/>
      <c r="IU20" s="84"/>
      <c r="IV20" s="84"/>
      <c r="IW20" s="84"/>
      <c r="IX20" s="84"/>
      <c r="IY20" s="84"/>
      <c r="IZ20" s="84"/>
      <c r="JA20" s="84"/>
      <c r="JB20" s="84"/>
      <c r="JC20" s="84"/>
      <c r="JD20" s="84"/>
      <c r="JE20" s="84"/>
      <c r="JF20" s="84"/>
      <c r="JG20" s="84"/>
      <c r="JH20" s="84"/>
      <c r="JI20" s="84"/>
      <c r="JJ20" s="84"/>
      <c r="JK20" s="84"/>
      <c r="JL20" s="84"/>
      <c r="JM20" s="84"/>
      <c r="JN20" s="84"/>
      <c r="JO20" s="84"/>
      <c r="JP20" s="84"/>
      <c r="JQ20" s="84"/>
      <c r="JR20" s="84"/>
      <c r="JS20" s="84"/>
      <c r="JT20" s="84"/>
      <c r="JU20" s="84"/>
      <c r="JV20" s="84"/>
      <c r="JW20" s="84"/>
      <c r="JX20" s="84"/>
      <c r="JY20" s="84"/>
      <c r="JZ20" s="84"/>
      <c r="KA20" s="84"/>
      <c r="KB20" s="84"/>
      <c r="KC20" s="84"/>
      <c r="KJ20" s="29"/>
      <c r="KK20" s="332"/>
      <c r="KL20" s="29"/>
      <c r="MF20" s="90"/>
      <c r="MG20" s="90"/>
      <c r="MH20" s="90"/>
    </row>
    <row r="21" spans="1:926" ht="18" customHeight="1" x14ac:dyDescent="0.35">
      <c r="A21" s="5" t="s">
        <v>44</v>
      </c>
      <c r="B21" s="5" t="s">
        <v>95</v>
      </c>
      <c r="C21" s="5" t="s">
        <v>96</v>
      </c>
      <c r="D21" s="11">
        <v>43111</v>
      </c>
      <c r="E21" s="11">
        <v>43231</v>
      </c>
      <c r="F21" s="5"/>
      <c r="G21" s="5" t="s">
        <v>45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6" t="s">
        <v>46</v>
      </c>
      <c r="AQ21" s="7" t="s">
        <v>141</v>
      </c>
      <c r="AR21" s="13">
        <v>5877</v>
      </c>
      <c r="AS21" s="14">
        <v>0.65300000000000002</v>
      </c>
      <c r="AT21" s="13">
        <v>2223</v>
      </c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92">
        <f>GA1</f>
        <v>43775</v>
      </c>
      <c r="GH21" s="10">
        <v>7515</v>
      </c>
      <c r="GI21" s="10">
        <f>9099-GK21-(2000*0.125*0)</f>
        <v>7704</v>
      </c>
      <c r="GJ21" s="7">
        <v>12799</v>
      </c>
      <c r="GK21" s="10">
        <v>1395</v>
      </c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6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J21" s="29"/>
      <c r="KK21" s="332"/>
      <c r="KL21" s="29"/>
      <c r="KN21" s="131"/>
      <c r="KO21" s="131"/>
      <c r="KP21" s="131"/>
      <c r="KQ21" s="131"/>
      <c r="KR21" s="131"/>
      <c r="KS21" s="131"/>
      <c r="KT21" s="131"/>
      <c r="KU21" s="131"/>
      <c r="KV21" s="131"/>
      <c r="KW21" s="131"/>
      <c r="KX21" s="131"/>
      <c r="KY21" s="131"/>
      <c r="KZ21" s="131"/>
      <c r="LA21" s="131"/>
      <c r="LB21" s="131"/>
      <c r="LC21" s="131"/>
      <c r="LD21" s="131"/>
      <c r="LE21" s="131"/>
      <c r="LF21" s="131"/>
      <c r="LG21" s="131"/>
      <c r="LH21" s="131"/>
      <c r="LI21" s="131"/>
      <c r="LJ21" s="131"/>
      <c r="LK21" s="131"/>
      <c r="LL21" s="131"/>
      <c r="LM21" s="131"/>
      <c r="LN21" s="131"/>
      <c r="LO21" s="131"/>
      <c r="LP21" s="131"/>
      <c r="LQ21" s="131"/>
      <c r="LR21" s="131"/>
      <c r="LS21" s="131"/>
      <c r="LT21" s="131"/>
      <c r="LU21" s="131"/>
      <c r="LV21" s="131"/>
      <c r="LW21" s="131"/>
      <c r="LX21" s="131"/>
      <c r="LY21" s="131"/>
      <c r="LZ21" s="131"/>
      <c r="MA21" s="131"/>
      <c r="MB21" s="131"/>
      <c r="MC21" s="131"/>
      <c r="MD21" s="131"/>
      <c r="ME21" s="131"/>
      <c r="MF21" s="90"/>
      <c r="MG21" s="90"/>
      <c r="MH21" s="90"/>
      <c r="MI21" s="131"/>
      <c r="MJ21" s="131"/>
      <c r="MK21" s="131"/>
      <c r="ML21" s="131"/>
      <c r="MM21" s="131"/>
      <c r="MN21" s="131"/>
      <c r="MO21" s="131"/>
      <c r="MP21" s="131"/>
      <c r="MQ21" s="131"/>
      <c r="MR21" s="131"/>
      <c r="MS21" s="131"/>
      <c r="MT21" s="131"/>
      <c r="MU21" s="131"/>
      <c r="MV21" s="131"/>
      <c r="MW21" s="131"/>
      <c r="MX21" s="131"/>
      <c r="MY21" s="131"/>
      <c r="MZ21" s="131"/>
      <c r="NA21" s="131"/>
      <c r="NB21" s="131"/>
      <c r="NC21" s="131"/>
      <c r="ND21" s="131"/>
      <c r="NE21" s="131"/>
      <c r="NF21" s="131"/>
      <c r="NG21" s="131"/>
      <c r="NH21" s="131"/>
      <c r="NI21" s="131"/>
      <c r="NJ21" s="131"/>
      <c r="NK21" s="131"/>
      <c r="NL21" s="131"/>
      <c r="NM21" s="131"/>
      <c r="NN21" s="131"/>
      <c r="NO21" s="131"/>
      <c r="NP21" s="131"/>
      <c r="NQ21" s="131"/>
      <c r="NR21" s="131"/>
      <c r="NS21" s="131"/>
      <c r="NT21" s="131"/>
      <c r="NU21" s="131"/>
      <c r="NV21" s="131"/>
      <c r="NW21" s="131"/>
      <c r="NX21" s="131"/>
      <c r="NY21" s="140"/>
      <c r="NZ21" s="140"/>
      <c r="OA21" s="140"/>
      <c r="OB21" s="140"/>
      <c r="OC21" s="140"/>
      <c r="OD21" s="140"/>
      <c r="OE21" s="140"/>
      <c r="OF21" s="140"/>
      <c r="OG21" s="140"/>
      <c r="OH21" s="140"/>
      <c r="OI21" s="140"/>
      <c r="OJ21" s="140"/>
      <c r="OK21" s="140"/>
      <c r="OL21" s="140"/>
      <c r="OM21" s="140"/>
      <c r="ON21" s="140"/>
      <c r="OO21" s="140"/>
    </row>
    <row r="22" spans="1:926" x14ac:dyDescent="0.25">
      <c r="A22" s="6" t="s">
        <v>46</v>
      </c>
      <c r="B22" s="9">
        <f t="shared" ref="B22:E26" si="8">D2/$G22</f>
        <v>0.76688888888888884</v>
      </c>
      <c r="C22" s="9">
        <f t="shared" si="8"/>
        <v>0.76966666666666672</v>
      </c>
      <c r="D22" s="9">
        <f t="shared" si="8"/>
        <v>0.80266666666666664</v>
      </c>
      <c r="E22" s="9">
        <f t="shared" si="8"/>
        <v>0.81222222222222218</v>
      </c>
      <c r="F22" s="8" t="s">
        <v>47</v>
      </c>
      <c r="G22" s="7">
        <v>9000</v>
      </c>
      <c r="AP22" s="6" t="s">
        <v>48</v>
      </c>
      <c r="AQ22" s="7" t="s">
        <v>142</v>
      </c>
      <c r="AR22" s="13">
        <v>8507</v>
      </c>
      <c r="AS22" s="14">
        <v>1</v>
      </c>
      <c r="AT22" s="13">
        <v>0</v>
      </c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92">
        <f>GB1</f>
        <v>43776</v>
      </c>
      <c r="GH22" s="10">
        <v>7756</v>
      </c>
      <c r="GI22" s="10">
        <f>9334-GK22-(2000*0.125*0)</f>
        <v>7956</v>
      </c>
      <c r="GJ22" s="7">
        <v>13085</v>
      </c>
      <c r="GK22" s="10">
        <v>1378</v>
      </c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6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J22" s="29"/>
      <c r="KK22" s="332"/>
      <c r="KL22" s="29"/>
      <c r="KN22" s="131"/>
      <c r="KO22" s="131"/>
      <c r="KP22" s="131"/>
      <c r="KQ22" s="131"/>
      <c r="KR22" s="131"/>
      <c r="KS22" s="131"/>
      <c r="KT22" s="131"/>
      <c r="KU22" s="131"/>
      <c r="KV22" s="131"/>
      <c r="KW22" s="131"/>
      <c r="KX22" s="131"/>
      <c r="KY22" s="131"/>
      <c r="KZ22" s="131"/>
      <c r="LA22" s="131"/>
      <c r="LB22" s="131"/>
      <c r="LC22" s="131"/>
      <c r="LD22" s="131"/>
      <c r="LE22" s="131"/>
      <c r="LF22" s="131"/>
      <c r="LG22" s="131"/>
      <c r="LH22" s="131"/>
      <c r="LI22" s="131"/>
      <c r="LJ22" s="131"/>
      <c r="LK22" s="131"/>
      <c r="LL22" s="131"/>
      <c r="LM22" s="131"/>
      <c r="LN22" s="131"/>
      <c r="LO22" s="131"/>
      <c r="LP22" s="131"/>
      <c r="LQ22" s="131"/>
      <c r="LR22" s="131"/>
      <c r="LS22" s="131"/>
      <c r="LT22" s="131"/>
      <c r="LU22" s="131"/>
      <c r="LV22" s="131"/>
      <c r="LW22" s="131"/>
      <c r="LX22" s="131"/>
      <c r="LY22" s="131"/>
      <c r="LZ22" s="131"/>
      <c r="MA22" s="131"/>
      <c r="MB22" s="131"/>
      <c r="MC22" s="131"/>
      <c r="MD22" s="131"/>
      <c r="ME22" s="131"/>
      <c r="MF22" s="90"/>
      <c r="MG22" s="90"/>
      <c r="MH22" s="90"/>
      <c r="MI22" s="131"/>
      <c r="MJ22" s="131"/>
      <c r="MK22" s="131"/>
      <c r="ML22" s="131"/>
      <c r="MM22" s="131"/>
      <c r="MN22" s="131"/>
      <c r="MO22" s="131"/>
      <c r="MP22" s="131"/>
      <c r="MQ22" s="131"/>
      <c r="MR22" s="131"/>
      <c r="MS22" s="131"/>
      <c r="MT22" s="131"/>
      <c r="MU22" s="131"/>
      <c r="MV22" s="131"/>
      <c r="MW22" s="131"/>
      <c r="MX22" s="131"/>
      <c r="MY22" s="131"/>
      <c r="MZ22" s="131"/>
      <c r="NA22" s="131"/>
      <c r="NB22" s="131"/>
      <c r="NC22" s="131"/>
      <c r="ND22" s="131"/>
      <c r="NE22" s="131"/>
      <c r="NF22" s="131"/>
      <c r="NG22" s="131"/>
      <c r="NH22" s="131"/>
      <c r="NI22" s="131"/>
      <c r="NJ22" s="131"/>
      <c r="NK22" s="131"/>
      <c r="NL22" s="131"/>
      <c r="NM22" s="131"/>
      <c r="NN22" s="131"/>
      <c r="NO22" s="131"/>
      <c r="NP22" s="131"/>
      <c r="NQ22" s="131"/>
      <c r="NR22" s="131"/>
      <c r="NS22" s="131"/>
      <c r="NT22" s="131"/>
      <c r="NU22" s="131"/>
      <c r="NV22" s="131"/>
      <c r="NW22" s="131"/>
      <c r="NX22" s="131"/>
      <c r="NY22" s="141"/>
      <c r="NZ22" s="141"/>
      <c r="OA22" s="141"/>
      <c r="OB22" s="141"/>
      <c r="OC22" s="141"/>
      <c r="OD22" s="141"/>
      <c r="OE22" s="141"/>
      <c r="OF22" s="141"/>
      <c r="OG22" s="141"/>
      <c r="OH22" s="141"/>
      <c r="OI22" s="141"/>
      <c r="OJ22" s="141"/>
      <c r="OK22" s="141"/>
      <c r="OL22" s="141"/>
      <c r="OM22" s="141"/>
      <c r="ON22" s="141"/>
      <c r="OO22" s="141"/>
    </row>
    <row r="23" spans="1:926" x14ac:dyDescent="0.25">
      <c r="A23" s="6" t="s">
        <v>48</v>
      </c>
      <c r="B23" s="9">
        <f t="shared" si="8"/>
        <v>0.75937500000000002</v>
      </c>
      <c r="C23" s="9">
        <f t="shared" si="8"/>
        <v>0.75937500000000002</v>
      </c>
      <c r="D23" s="9">
        <f t="shared" si="8"/>
        <v>0.75937500000000002</v>
      </c>
      <c r="E23" s="9">
        <f t="shared" si="8"/>
        <v>0.75937500000000002</v>
      </c>
      <c r="F23" s="8" t="s">
        <v>47</v>
      </c>
      <c r="G23" s="7">
        <v>8000</v>
      </c>
      <c r="AP23" s="6" t="s">
        <v>50</v>
      </c>
      <c r="AQ23" s="7" t="s">
        <v>143</v>
      </c>
      <c r="AR23" s="13">
        <v>11682</v>
      </c>
      <c r="AS23" s="14">
        <v>0.64900000000000002</v>
      </c>
      <c r="AT23" s="13">
        <v>4518</v>
      </c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93">
        <f>GC1</f>
        <v>43780</v>
      </c>
      <c r="GH23" s="10">
        <v>7299</v>
      </c>
      <c r="GI23" s="10">
        <f>9133-GK23-(2000*0.125*0)</f>
        <v>7666</v>
      </c>
      <c r="GJ23" s="7">
        <v>14114</v>
      </c>
      <c r="GK23" s="10">
        <v>1467</v>
      </c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6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G23" s="16"/>
      <c r="KH23" s="16"/>
      <c r="KI23" s="16"/>
      <c r="KJ23" s="29"/>
      <c r="KK23" s="326"/>
      <c r="KL23" s="29"/>
      <c r="KM23" s="16"/>
      <c r="KN23" s="16"/>
      <c r="KO23" s="16"/>
      <c r="KP23" s="16"/>
      <c r="KQ23" s="16"/>
      <c r="KR23" s="16"/>
      <c r="KS23" s="16"/>
      <c r="KT23" s="16"/>
      <c r="KU23" s="16"/>
      <c r="KV23" s="16"/>
      <c r="KW23" s="16"/>
      <c r="KX23" s="16"/>
      <c r="KY23" s="16"/>
      <c r="KZ23" s="16"/>
      <c r="LA23" s="16"/>
      <c r="LB23" s="16"/>
      <c r="LC23" s="16"/>
      <c r="LD23" s="16"/>
      <c r="LE23" s="16"/>
      <c r="LF23" s="16"/>
      <c r="LG23" s="16"/>
      <c r="LH23" s="16"/>
      <c r="LI23" s="16"/>
      <c r="LJ23" s="16"/>
      <c r="LK23" s="16"/>
      <c r="LL23" s="16"/>
      <c r="LM23" s="16"/>
      <c r="LN23" s="16"/>
      <c r="LO23" s="16"/>
      <c r="LP23" s="16"/>
      <c r="LQ23" s="16"/>
      <c r="LR23" s="16"/>
      <c r="LS23" s="16"/>
      <c r="LT23" s="16"/>
      <c r="LU23" s="16"/>
      <c r="LV23" s="16"/>
      <c r="LW23" s="16"/>
      <c r="LX23" s="16"/>
      <c r="LY23" s="16"/>
      <c r="LZ23" s="16"/>
      <c r="MA23" s="16"/>
      <c r="MB23" s="16"/>
      <c r="MC23" s="16"/>
      <c r="MD23" s="16"/>
      <c r="ME23" s="16"/>
      <c r="MF23" s="90"/>
      <c r="MG23" s="90"/>
      <c r="MH23" s="90"/>
      <c r="MI23" s="16"/>
      <c r="MJ23" s="16"/>
      <c r="MK23" s="16"/>
      <c r="ML23" s="16"/>
      <c r="MM23" s="16"/>
      <c r="MN23" s="16"/>
      <c r="MO23" s="16"/>
      <c r="MP23" s="16"/>
      <c r="MQ23" s="16"/>
      <c r="MR23" s="16"/>
      <c r="MS23" s="16"/>
      <c r="MT23" s="16"/>
      <c r="MU23" s="16"/>
      <c r="MV23" s="16"/>
      <c r="MW23" s="16"/>
      <c r="MX23" s="16"/>
      <c r="MY23" s="16"/>
      <c r="MZ23" s="16"/>
      <c r="NA23" s="16"/>
      <c r="NB23" s="16"/>
      <c r="NC23" s="16"/>
      <c r="ND23" s="16"/>
      <c r="NE23" s="16"/>
      <c r="NF23" s="16"/>
      <c r="NG23" s="16"/>
      <c r="NH23" s="16"/>
      <c r="NI23" s="16"/>
      <c r="NJ23" s="16"/>
      <c r="NK23" s="16"/>
      <c r="NL23" s="16"/>
      <c r="NM23" s="16"/>
      <c r="NN23" s="16"/>
      <c r="NO23" s="16"/>
      <c r="NP23" s="16"/>
      <c r="NQ23" s="16"/>
      <c r="NR23" s="16"/>
      <c r="NS23" s="16"/>
      <c r="NT23" s="16"/>
      <c r="NU23" s="16"/>
      <c r="NV23" s="16"/>
      <c r="NW23" s="16"/>
      <c r="NX23" s="16"/>
      <c r="NY23" s="142"/>
      <c r="NZ23" s="142"/>
      <c r="OA23" s="142"/>
      <c r="OB23" s="142"/>
      <c r="OC23" s="142"/>
      <c r="OD23" s="142"/>
      <c r="OE23" s="142"/>
      <c r="OF23" s="142"/>
      <c r="OG23" s="142"/>
      <c r="OH23" s="142"/>
      <c r="OI23" s="142"/>
      <c r="OJ23" s="142"/>
      <c r="OK23" s="142"/>
      <c r="OL23" s="142"/>
      <c r="OM23" s="142"/>
      <c r="ON23" s="142"/>
      <c r="OO23" s="142"/>
      <c r="OP23" s="16"/>
      <c r="OQ23" s="16"/>
      <c r="OR23" s="16"/>
      <c r="OS23" s="16"/>
      <c r="OT23" s="16"/>
      <c r="OU23" s="16"/>
      <c r="OV23" s="16"/>
    </row>
    <row r="24" spans="1:926" x14ac:dyDescent="0.25">
      <c r="A24" s="6" t="s">
        <v>50</v>
      </c>
      <c r="B24" s="9">
        <f t="shared" si="8"/>
        <v>0.74357723577235768</v>
      </c>
      <c r="C24" s="9">
        <f t="shared" si="8"/>
        <v>0.7455284552845528</v>
      </c>
      <c r="D24" s="9">
        <f t="shared" si="8"/>
        <v>0.74292682926829268</v>
      </c>
      <c r="E24" s="9">
        <f t="shared" si="8"/>
        <v>0.73569105691056913</v>
      </c>
      <c r="F24" s="8" t="s">
        <v>47</v>
      </c>
      <c r="G24" s="7">
        <v>12300</v>
      </c>
      <c r="AP24" s="6" t="s">
        <v>52</v>
      </c>
      <c r="AQ24" s="7" t="s">
        <v>144</v>
      </c>
      <c r="AR24" s="13">
        <v>1090</v>
      </c>
      <c r="AS24" s="14">
        <v>0.54500000000000004</v>
      </c>
      <c r="AT24" s="13">
        <v>710</v>
      </c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>
        <f>65000*0.9</f>
        <v>58500</v>
      </c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93">
        <f>GD1</f>
        <v>43782</v>
      </c>
      <c r="GH24" s="10">
        <v>7327</v>
      </c>
      <c r="GI24" s="10">
        <f>9022-GK24-(2000*0.125*0)</f>
        <v>7646</v>
      </c>
      <c r="GJ24" s="7">
        <v>14359</v>
      </c>
      <c r="GK24" s="10">
        <v>1376</v>
      </c>
      <c r="KJ24" s="29"/>
      <c r="KK24" s="325"/>
      <c r="KL24" s="29"/>
      <c r="MF24" s="90"/>
      <c r="MG24" s="90"/>
      <c r="MH24" s="90"/>
      <c r="AIJ24" s="111" t="s">
        <v>76</v>
      </c>
    </row>
    <row r="25" spans="1:926" x14ac:dyDescent="0.25">
      <c r="A25" s="6" t="s">
        <v>52</v>
      </c>
      <c r="B25" s="9">
        <f t="shared" si="8"/>
        <v>0.375</v>
      </c>
      <c r="C25" s="9">
        <f t="shared" si="8"/>
        <v>0.39500000000000002</v>
      </c>
      <c r="D25" s="9">
        <f t="shared" si="8"/>
        <v>0.36449999999999999</v>
      </c>
      <c r="E25" s="9">
        <f t="shared" si="8"/>
        <v>0.36</v>
      </c>
      <c r="F25" s="8" t="s">
        <v>47</v>
      </c>
      <c r="G25" s="7">
        <v>2000</v>
      </c>
      <c r="AP25" s="6" t="s">
        <v>54</v>
      </c>
      <c r="AQ25" s="7" t="s">
        <v>145</v>
      </c>
      <c r="AR25" s="13">
        <v>60500</v>
      </c>
      <c r="AS25" s="14">
        <v>0.93076923076923079</v>
      </c>
      <c r="AT25" s="13">
        <v>4500</v>
      </c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93">
        <f>GE1</f>
        <v>43783</v>
      </c>
      <c r="GH25" s="10">
        <v>7345</v>
      </c>
      <c r="GI25" s="10">
        <f>8977-GK25-(2000*0.125*0)</f>
        <v>7584</v>
      </c>
      <c r="GJ25" s="7">
        <v>14506</v>
      </c>
      <c r="GK25" s="10">
        <v>1393</v>
      </c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6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J25" s="29"/>
      <c r="KL25" s="29"/>
    </row>
    <row r="26" spans="1:926" x14ac:dyDescent="0.25">
      <c r="A26" s="6" t="s">
        <v>54</v>
      </c>
      <c r="B26" s="9">
        <f t="shared" si="8"/>
        <v>0.92307692307692313</v>
      </c>
      <c r="C26" s="9">
        <f t="shared" si="8"/>
        <v>0.92307692307692313</v>
      </c>
      <c r="D26" s="9">
        <f t="shared" si="8"/>
        <v>0.92307692307692313</v>
      </c>
      <c r="E26" s="9">
        <f t="shared" si="8"/>
        <v>0.92307692307692313</v>
      </c>
      <c r="F26" s="8" t="s">
        <v>55</v>
      </c>
      <c r="G26" s="7">
        <v>65000</v>
      </c>
      <c r="GG26" s="93">
        <f>GF1</f>
        <v>43784</v>
      </c>
      <c r="GH26" s="10">
        <v>7415</v>
      </c>
      <c r="GI26" s="10">
        <f>8984-GK26-(2000*0.125*0)</f>
        <v>7624</v>
      </c>
      <c r="GJ26" s="7">
        <v>14436</v>
      </c>
      <c r="GK26" s="10">
        <v>1360</v>
      </c>
      <c r="KJ26" s="29"/>
      <c r="KK26" s="327"/>
      <c r="KL26" s="29"/>
    </row>
    <row r="27" spans="1:926" x14ac:dyDescent="0.25">
      <c r="GG27" s="94">
        <f>GG1</f>
        <v>43787</v>
      </c>
      <c r="GH27" s="10">
        <v>6915</v>
      </c>
      <c r="GI27" s="10">
        <f>9052-GK27-(2000*0.125*0)</f>
        <v>7639</v>
      </c>
      <c r="GJ27" s="7">
        <v>14550</v>
      </c>
      <c r="GK27" s="10">
        <v>1413</v>
      </c>
      <c r="KJ27" s="29"/>
      <c r="KK27" s="326"/>
      <c r="KL27" s="29"/>
    </row>
    <row r="28" spans="1:926" x14ac:dyDescent="0.25">
      <c r="GG28" s="94">
        <f>GH1</f>
        <v>43790</v>
      </c>
      <c r="GH28" s="10">
        <v>7132</v>
      </c>
      <c r="GI28" s="10">
        <f>9210-GK28-(2000*0.125*0)</f>
        <v>7888</v>
      </c>
      <c r="GJ28" s="7">
        <v>14372</v>
      </c>
      <c r="GK28" s="10">
        <v>1322</v>
      </c>
      <c r="KJ28" s="29"/>
      <c r="KK28" s="325"/>
      <c r="KL28" s="29"/>
    </row>
    <row r="29" spans="1:926" x14ac:dyDescent="0.25">
      <c r="GG29" s="94">
        <f>GI1</f>
        <v>43791</v>
      </c>
      <c r="GH29" s="10">
        <v>7246</v>
      </c>
      <c r="GI29" s="10">
        <f>9315-GK29-(2000*0.125*0)</f>
        <v>7993</v>
      </c>
      <c r="GJ29" s="7">
        <v>14259</v>
      </c>
      <c r="GK29" s="10">
        <v>1322</v>
      </c>
      <c r="GL29" t="s">
        <v>76</v>
      </c>
      <c r="KJ29" s="29"/>
      <c r="KK29" s="325"/>
      <c r="KL29" s="29"/>
    </row>
    <row r="30" spans="1:926" x14ac:dyDescent="0.25">
      <c r="GG30" s="94">
        <f>GJ1</f>
        <v>43794</v>
      </c>
      <c r="GH30" s="10">
        <v>7205</v>
      </c>
      <c r="GI30" s="10">
        <f>9086-GK30-(2000*0.125*0)</f>
        <v>7764</v>
      </c>
      <c r="GJ30" s="7">
        <v>13268</v>
      </c>
      <c r="GK30" s="10">
        <v>1322</v>
      </c>
    </row>
    <row r="31" spans="1:926" x14ac:dyDescent="0.25">
      <c r="GG31" s="94">
        <f>GK1</f>
        <v>43795</v>
      </c>
      <c r="GH31" s="10">
        <v>7180</v>
      </c>
      <c r="GI31" s="10">
        <f>9075-GK31-(2000*0.125*0)</f>
        <v>7789</v>
      </c>
      <c r="GJ31" s="7">
        <v>13083</v>
      </c>
      <c r="GK31" s="10">
        <v>1286</v>
      </c>
    </row>
    <row r="32" spans="1:926" x14ac:dyDescent="0.25">
      <c r="GG32" s="94">
        <f>$GL$1</f>
        <v>43799</v>
      </c>
      <c r="GH32" s="10">
        <v>7226</v>
      </c>
      <c r="GI32" s="10">
        <f>9497-GK32-(2000*0.125*0)</f>
        <v>7983</v>
      </c>
      <c r="GJ32" s="7">
        <v>13316</v>
      </c>
      <c r="GK32" s="10">
        <v>1514</v>
      </c>
    </row>
    <row r="33" spans="189:945" x14ac:dyDescent="0.25">
      <c r="GG33" s="94"/>
      <c r="GH33" s="10"/>
      <c r="GI33" s="10"/>
      <c r="GJ33" s="7"/>
      <c r="GK33" s="10"/>
    </row>
    <row r="34" spans="189:945" x14ac:dyDescent="0.25">
      <c r="GG34" s="94">
        <f>$GM$1</f>
        <v>43802</v>
      </c>
      <c r="GH34" s="10">
        <v>7171</v>
      </c>
      <c r="GI34" s="10">
        <f>8848-GK34-(2000*0.125*0)</f>
        <v>7337</v>
      </c>
      <c r="GJ34" s="7">
        <v>13276</v>
      </c>
      <c r="GK34" s="10">
        <v>1511</v>
      </c>
      <c r="AII34" s="54"/>
    </row>
    <row r="35" spans="189:945" x14ac:dyDescent="0.25">
      <c r="GG35" s="163"/>
      <c r="GH35" s="122"/>
      <c r="GI35" s="122"/>
      <c r="GK35" s="122"/>
      <c r="AII35" s="54"/>
    </row>
    <row r="36" spans="189:945" x14ac:dyDescent="0.25">
      <c r="GG36" s="163"/>
      <c r="GH36" s="122"/>
      <c r="GI36" s="122"/>
      <c r="GK36" s="122"/>
      <c r="AII36" s="54"/>
    </row>
    <row r="37" spans="189:945" x14ac:dyDescent="0.25">
      <c r="GG37" s="163"/>
      <c r="GH37" s="122"/>
      <c r="GI37" s="122"/>
      <c r="GK37" s="122"/>
      <c r="AII37" s="54"/>
    </row>
    <row r="38" spans="189:945" x14ac:dyDescent="0.25">
      <c r="GG38" s="163"/>
      <c r="GH38" s="122"/>
      <c r="GI38" s="122"/>
      <c r="GK38" s="122"/>
      <c r="AII38" s="54"/>
    </row>
    <row r="39" spans="189:945" x14ac:dyDescent="0.25">
      <c r="GG39" s="163"/>
      <c r="GH39" s="122"/>
      <c r="GI39" s="122"/>
      <c r="GK39" s="122"/>
      <c r="AII39" s="54"/>
    </row>
    <row r="40" spans="189:945" x14ac:dyDescent="0.25">
      <c r="GG40" s="163"/>
      <c r="GH40" s="122"/>
      <c r="GI40" s="122"/>
      <c r="GK40" s="122"/>
      <c r="AII40" s="54"/>
    </row>
    <row r="41" spans="189:945" x14ac:dyDescent="0.25">
      <c r="GG41" s="163"/>
      <c r="GH41" s="122"/>
      <c r="GI41" s="122"/>
      <c r="GK41" s="122"/>
      <c r="AII41" s="54"/>
    </row>
    <row r="42" spans="189:945" x14ac:dyDescent="0.25">
      <c r="GG42" s="163"/>
      <c r="GH42" s="122"/>
      <c r="GI42" s="122"/>
      <c r="GK42" s="122"/>
      <c r="AII42" s="54"/>
    </row>
    <row r="43" spans="189:945" x14ac:dyDescent="0.25">
      <c r="GG43" s="163"/>
      <c r="GH43" s="122"/>
      <c r="GI43" s="122"/>
      <c r="GK43" s="122"/>
      <c r="AII43" s="54"/>
    </row>
    <row r="44" spans="189:945" x14ac:dyDescent="0.25">
      <c r="GG44" s="163"/>
      <c r="GH44" s="122"/>
      <c r="GI44" s="122"/>
      <c r="GK44" s="122"/>
      <c r="AII44" s="54"/>
    </row>
    <row r="45" spans="189:945" x14ac:dyDescent="0.25">
      <c r="GG45" s="163"/>
      <c r="GH45" s="122"/>
      <c r="GI45" s="122"/>
      <c r="GK45" s="122"/>
      <c r="AII45" s="54"/>
    </row>
    <row r="46" spans="189:945" x14ac:dyDescent="0.25">
      <c r="GG46" s="163"/>
      <c r="GH46" s="122"/>
      <c r="GI46" s="122"/>
      <c r="GK46" s="122"/>
      <c r="AII46" s="54"/>
    </row>
    <row r="47" spans="189:945" x14ac:dyDescent="0.25">
      <c r="GG47" s="163"/>
      <c r="GH47" s="122"/>
      <c r="GI47" s="122"/>
      <c r="GK47" s="122"/>
      <c r="AII47" s="54"/>
    </row>
    <row r="48" spans="189:945" ht="40.5" customHeight="1" x14ac:dyDescent="0.25">
      <c r="AII48" s="91" t="s">
        <v>146</v>
      </c>
      <c r="AJF48" s="50"/>
      <c r="AJG48" s="50"/>
      <c r="AJH48" s="50"/>
      <c r="AJI48" s="50"/>
    </row>
    <row r="49" spans="504:950" ht="40.5" customHeight="1" x14ac:dyDescent="0.25">
      <c r="AIK49" t="s">
        <v>147</v>
      </c>
      <c r="AJF49" s="50"/>
      <c r="AJG49" s="50"/>
      <c r="AJH49" s="50"/>
      <c r="AJI49" s="50"/>
    </row>
    <row r="50" spans="504:950" ht="40.5" customHeight="1" x14ac:dyDescent="0.25">
      <c r="AJF50" s="50"/>
      <c r="AJG50" s="50"/>
      <c r="AJH50" s="50"/>
      <c r="AJI50" s="50"/>
    </row>
    <row r="51" spans="504:950" ht="40.5" customHeight="1" x14ac:dyDescent="0.25">
      <c r="AJF51" s="50"/>
      <c r="AJG51" s="50"/>
      <c r="AJH51" s="50"/>
      <c r="AJI51" s="50"/>
    </row>
    <row r="52" spans="504:950" ht="40.5" customHeight="1" x14ac:dyDescent="0.25">
      <c r="AIP52" s="71"/>
      <c r="AJF52" s="50"/>
      <c r="AJG52" s="50"/>
      <c r="AJH52" s="50"/>
      <c r="AJI52" s="50"/>
    </row>
    <row r="53" spans="504:950" ht="40.5" customHeight="1" x14ac:dyDescent="0.25">
      <c r="AIP53" s="134"/>
      <c r="AJF53" s="50"/>
      <c r="AJG53" s="50"/>
      <c r="AJH53" s="50"/>
      <c r="AJI53" s="50"/>
    </row>
    <row r="54" spans="504:950" ht="47.25" customHeight="1" x14ac:dyDescent="0.25">
      <c r="AIJ54" s="111" t="s">
        <v>148</v>
      </c>
      <c r="AIM54" s="134"/>
      <c r="AIN54">
        <v>7.0000000000000007E-2</v>
      </c>
      <c r="AIO54" t="s">
        <v>46</v>
      </c>
      <c r="AIR54" s="70" t="s">
        <v>149</v>
      </c>
      <c r="AIU54" s="70" t="s">
        <v>150</v>
      </c>
    </row>
    <row r="55" spans="504:950" ht="15.75" thickBot="1" x14ac:dyDescent="0.3">
      <c r="AII55" s="75" t="s">
        <v>151</v>
      </c>
      <c r="AIN55">
        <v>0.03</v>
      </c>
      <c r="AIO55" t="s">
        <v>152</v>
      </c>
      <c r="AIP55" s="471"/>
      <c r="AIQ55" s="471"/>
      <c r="AIR55" s="70" t="s">
        <v>153</v>
      </c>
    </row>
    <row r="56" spans="504:950" ht="29.25" customHeight="1" thickBot="1" x14ac:dyDescent="0.3">
      <c r="AII56" s="164"/>
      <c r="AIJ56" s="193">
        <f>AIK58-AIL58</f>
        <v>5462.2816526999986</v>
      </c>
      <c r="AIK56" s="193">
        <v>950</v>
      </c>
      <c r="AIL56" s="193">
        <f>AIK58-8497.5</f>
        <v>1802.5</v>
      </c>
      <c r="AIM56" s="193"/>
      <c r="AIN56" s="193">
        <f>AIM58-AIN58</f>
        <v>4741.2816526999986</v>
      </c>
      <c r="AIO56" s="164"/>
      <c r="AIP56" s="472" t="s">
        <v>154</v>
      </c>
      <c r="AIQ56" s="473"/>
    </row>
    <row r="57" spans="504:950" ht="41.25" customHeight="1" thickBot="1" x14ac:dyDescent="0.3">
      <c r="AII57" s="307" t="s">
        <v>155</v>
      </c>
      <c r="AIJ57" s="165" t="s">
        <v>156</v>
      </c>
      <c r="AIK57" s="165" t="s">
        <v>157</v>
      </c>
      <c r="AIL57" s="165" t="s">
        <v>158</v>
      </c>
      <c r="AIM57" s="165" t="s">
        <v>159</v>
      </c>
      <c r="AIN57" s="165" t="s">
        <v>160</v>
      </c>
      <c r="AIO57" s="166" t="s">
        <v>161</v>
      </c>
      <c r="AIP57" s="162" t="s">
        <v>89</v>
      </c>
      <c r="AIQ57" s="150" t="s">
        <v>90</v>
      </c>
      <c r="AIR57" s="70" t="s">
        <v>162</v>
      </c>
      <c r="AJC57" s="88" t="s">
        <v>155</v>
      </c>
      <c r="AJD57" s="88" t="s">
        <v>89</v>
      </c>
      <c r="AJE57" s="150" t="s">
        <v>90</v>
      </c>
    </row>
    <row r="58" spans="504:950" ht="28.5" customHeight="1" thickBot="1" x14ac:dyDescent="0.3">
      <c r="SJ58" s="134"/>
      <c r="ST58" s="134">
        <f>AIK60*7%</f>
        <v>717.50000000000011</v>
      </c>
      <c r="SV58" s="134"/>
      <c r="SW58" s="134"/>
      <c r="SX58" s="134"/>
      <c r="SY58" s="134"/>
      <c r="SZ58" s="134"/>
      <c r="TA58" s="134"/>
      <c r="TB58" s="134"/>
      <c r="TC58" s="134"/>
      <c r="TD58" s="134"/>
      <c r="TE58" s="134"/>
      <c r="TF58" s="134"/>
      <c r="TG58" s="134"/>
      <c r="TH58" s="134"/>
      <c r="TI58" s="134"/>
      <c r="TJ58" s="134"/>
      <c r="TK58" s="134"/>
      <c r="TL58" s="134"/>
      <c r="TM58" s="134"/>
      <c r="TN58" s="134"/>
      <c r="TO58" s="134"/>
      <c r="TP58" s="134"/>
      <c r="TQ58" s="134"/>
      <c r="TR58" s="134"/>
      <c r="TS58" s="134"/>
      <c r="TT58" s="134"/>
      <c r="TU58" s="134"/>
      <c r="TV58" s="134"/>
      <c r="TW58" s="134"/>
      <c r="TX58" s="134"/>
      <c r="TY58" s="134"/>
      <c r="TZ58" s="134"/>
      <c r="UA58" s="134"/>
      <c r="UB58" s="134"/>
      <c r="UC58" s="134"/>
      <c r="UD58" s="134"/>
      <c r="UE58" s="134"/>
      <c r="UF58" s="134"/>
      <c r="UG58" s="134"/>
      <c r="UH58" s="134"/>
      <c r="UI58" s="134"/>
      <c r="UJ58" s="134"/>
      <c r="UK58" s="134"/>
      <c r="UL58" s="134"/>
      <c r="UM58" s="134"/>
      <c r="UN58" s="134"/>
      <c r="UO58" s="134"/>
      <c r="UP58" s="134"/>
      <c r="UQ58" s="134"/>
      <c r="UR58" s="172"/>
      <c r="US58" s="134"/>
      <c r="UT58" s="134"/>
      <c r="UU58" s="134"/>
      <c r="UV58" s="134"/>
      <c r="UW58" s="134"/>
      <c r="UX58" s="134"/>
      <c r="UY58" s="134"/>
      <c r="UZ58" s="134"/>
      <c r="VA58" s="134"/>
      <c r="VB58" s="134"/>
      <c r="VC58" s="134"/>
      <c r="VD58" s="134"/>
      <c r="VE58" s="134"/>
      <c r="VF58" s="134"/>
      <c r="VG58" s="134"/>
      <c r="VH58" s="134"/>
      <c r="VI58" s="134"/>
      <c r="VJ58" s="134"/>
      <c r="VK58" s="134"/>
      <c r="VL58" s="134"/>
      <c r="VM58" s="134"/>
      <c r="VN58" s="134"/>
      <c r="VO58" s="134"/>
      <c r="VP58" s="134"/>
      <c r="VQ58" s="134"/>
      <c r="VR58" s="134"/>
      <c r="VS58" s="134"/>
      <c r="VT58" s="134"/>
      <c r="VU58" s="134"/>
      <c r="VV58" s="134"/>
      <c r="VW58" s="134"/>
      <c r="VX58" s="134"/>
      <c r="VY58" s="134"/>
      <c r="VZ58" s="134"/>
      <c r="WA58" s="134"/>
      <c r="WB58" s="134"/>
      <c r="WC58" s="134"/>
      <c r="WD58" s="134"/>
      <c r="WE58" s="134"/>
      <c r="WF58" s="134"/>
      <c r="WG58" s="134"/>
      <c r="WH58" s="134"/>
      <c r="WI58" s="134"/>
      <c r="WJ58" s="134">
        <f t="shared" ref="WJ58:WJ64" si="9">AIK58-AIL58</f>
        <v>5462.2816526999986</v>
      </c>
      <c r="WK58" s="134"/>
      <c r="WL58" s="134"/>
      <c r="WM58" s="134"/>
      <c r="WN58" s="134"/>
      <c r="WO58" s="134"/>
      <c r="WP58" s="134"/>
      <c r="WQ58" s="134"/>
      <c r="WR58" s="134"/>
      <c r="WS58" s="134"/>
      <c r="WT58" s="134"/>
      <c r="WU58" s="134"/>
      <c r="WV58" s="134"/>
      <c r="WW58" s="134"/>
      <c r="WX58" s="134"/>
      <c r="WY58" s="134"/>
      <c r="WZ58" s="134"/>
      <c r="XA58" s="134"/>
      <c r="XB58" s="134"/>
      <c r="XC58" s="134"/>
      <c r="XD58" s="134"/>
      <c r="XE58" s="134"/>
      <c r="XF58" s="134"/>
      <c r="XG58" s="134"/>
      <c r="XH58" s="134"/>
      <c r="XI58" s="134"/>
      <c r="XJ58" s="134"/>
      <c r="XK58" s="134"/>
      <c r="XL58" s="134"/>
      <c r="XM58" s="134"/>
      <c r="XN58" s="134"/>
      <c r="XO58" s="134"/>
      <c r="XP58" s="134"/>
      <c r="XQ58" s="134"/>
      <c r="XR58" s="134"/>
      <c r="XS58" s="134"/>
      <c r="XT58" s="134"/>
      <c r="XU58" s="134"/>
      <c r="XV58" s="134"/>
      <c r="XW58" s="134"/>
      <c r="XX58" s="134"/>
      <c r="XY58" s="134"/>
      <c r="XZ58" s="134"/>
      <c r="YA58" s="134"/>
      <c r="YB58" s="134"/>
      <c r="YC58" s="134"/>
      <c r="YD58" s="134"/>
      <c r="YE58" s="134"/>
      <c r="YF58" s="134"/>
      <c r="YG58" s="134"/>
      <c r="YH58" s="134"/>
      <c r="YI58" s="134"/>
      <c r="YJ58" s="134"/>
      <c r="YK58" s="134"/>
      <c r="YL58" s="134"/>
      <c r="YM58" s="134"/>
      <c r="YN58" s="134"/>
      <c r="YO58" s="134"/>
      <c r="YP58" s="134"/>
      <c r="YQ58" s="134"/>
      <c r="YR58" s="134"/>
      <c r="YS58" s="134"/>
      <c r="YT58" s="134"/>
      <c r="YU58" s="134"/>
      <c r="YV58" s="134"/>
      <c r="YW58" s="134"/>
      <c r="YX58" s="134"/>
      <c r="YY58" s="134"/>
      <c r="YZ58" s="134"/>
      <c r="ZA58" s="134"/>
      <c r="ZB58" s="134"/>
      <c r="ZC58" s="134"/>
      <c r="ZD58" s="134"/>
      <c r="ZE58" s="134"/>
      <c r="ZF58" s="134"/>
      <c r="ZG58" s="134"/>
      <c r="ZH58" s="134"/>
      <c r="ZI58" s="134"/>
      <c r="ZJ58" s="134"/>
      <c r="ZK58" s="134"/>
      <c r="ZL58" s="134"/>
      <c r="ZM58" s="134"/>
      <c r="ZN58" s="134"/>
      <c r="ZO58" s="134"/>
      <c r="ZP58" s="134"/>
      <c r="ZQ58" s="134"/>
      <c r="ZR58" s="134"/>
      <c r="ZS58" s="134"/>
      <c r="ZT58" s="134"/>
      <c r="ZU58" s="134"/>
      <c r="ZV58" s="134"/>
      <c r="ZW58" s="134"/>
      <c r="ZX58" s="134"/>
      <c r="ZY58" s="134"/>
      <c r="ZZ58" s="134"/>
      <c r="AAA58" s="134"/>
      <c r="AAB58" s="134"/>
      <c r="AAC58" s="134"/>
      <c r="AAD58" s="134"/>
      <c r="AAE58" s="134"/>
      <c r="AAF58" s="134"/>
      <c r="AAG58" s="134"/>
      <c r="AAH58" s="134"/>
      <c r="AAI58" s="134"/>
      <c r="AAJ58" s="134"/>
      <c r="AAK58" s="134"/>
      <c r="AAL58" s="134"/>
      <c r="AAM58" s="134"/>
      <c r="AAN58" s="134"/>
      <c r="AAO58" s="134"/>
      <c r="AAP58" s="134"/>
      <c r="AAQ58" s="134"/>
      <c r="AAR58" s="134"/>
      <c r="AAS58" s="134"/>
      <c r="AAT58" s="134"/>
      <c r="AAU58" s="134"/>
      <c r="AAV58" s="134"/>
      <c r="AAW58" s="134"/>
      <c r="AAX58" s="134"/>
      <c r="AAY58" s="134"/>
      <c r="AAZ58" s="134"/>
      <c r="ABA58" s="134"/>
      <c r="ABB58" s="134"/>
      <c r="ABC58" s="134"/>
      <c r="ABD58" s="134"/>
      <c r="ABE58" s="134"/>
      <c r="ABF58" s="134"/>
      <c r="ABG58" s="134"/>
      <c r="ABH58" s="134"/>
      <c r="ABI58" s="134"/>
      <c r="ABJ58" s="134"/>
      <c r="ABK58" s="134"/>
      <c r="ABL58" s="134"/>
      <c r="ABM58" s="134"/>
      <c r="ABN58" s="134"/>
      <c r="ABO58" s="134"/>
      <c r="ABP58" s="134"/>
      <c r="ABQ58" s="134"/>
      <c r="ABR58" s="134"/>
      <c r="ABS58" s="134"/>
      <c r="ABT58" s="134"/>
      <c r="ABU58" s="134"/>
      <c r="ABV58" s="134"/>
      <c r="ABW58" s="134"/>
      <c r="ABX58" s="134"/>
      <c r="ABY58" s="134"/>
      <c r="ABZ58" s="134"/>
      <c r="ACA58" s="134"/>
      <c r="ACB58" s="134"/>
      <c r="ACC58" s="134"/>
      <c r="ACD58" s="134"/>
      <c r="ACE58" s="134"/>
      <c r="ACF58" s="134"/>
      <c r="ACG58" s="134"/>
      <c r="ACH58" s="134"/>
      <c r="ACI58" s="134"/>
      <c r="ACJ58" s="134"/>
      <c r="ACK58" s="134"/>
      <c r="ACL58" s="134"/>
      <c r="ACM58" s="134"/>
      <c r="ACN58" s="134"/>
      <c r="ACO58" s="134"/>
      <c r="ACP58" s="134"/>
      <c r="ACQ58" s="134"/>
      <c r="ACR58" s="134"/>
      <c r="ACS58" s="134"/>
      <c r="ACT58" s="134"/>
      <c r="ACU58" s="134"/>
      <c r="ACV58" s="134"/>
      <c r="ACW58" s="134"/>
      <c r="ACX58" s="134"/>
      <c r="ACY58" s="134"/>
      <c r="ACZ58" s="134"/>
      <c r="ADA58" s="134"/>
      <c r="ADB58" s="134"/>
      <c r="ADC58" s="134"/>
      <c r="ADD58" s="134"/>
      <c r="ADE58" s="134"/>
      <c r="ADF58" s="134"/>
      <c r="ADG58" s="134"/>
      <c r="ADH58" s="134"/>
      <c r="ADI58" s="134"/>
      <c r="ADJ58" s="134"/>
      <c r="ADK58" s="134"/>
      <c r="ADL58" s="134"/>
      <c r="ADM58" s="134"/>
      <c r="ADN58" s="134"/>
      <c r="ADO58" s="134"/>
      <c r="ADP58" s="134"/>
      <c r="ADQ58" s="134"/>
      <c r="ADR58" s="134"/>
      <c r="ADS58" s="134"/>
      <c r="ADT58" s="134"/>
      <c r="ADU58" s="134"/>
      <c r="ADV58" s="134"/>
      <c r="ADW58" s="134"/>
      <c r="ADX58" s="134"/>
      <c r="ADY58" s="134"/>
      <c r="ADZ58" s="134"/>
      <c r="AEA58" s="134"/>
      <c r="AEB58" s="134"/>
      <c r="AEC58" s="134"/>
      <c r="AED58" s="134"/>
      <c r="AEE58" s="134"/>
      <c r="AEH58" s="71"/>
      <c r="AEI58" s="71"/>
      <c r="AEJ58" s="71"/>
      <c r="AEK58" s="71"/>
      <c r="AEL58" s="71"/>
      <c r="AEM58" s="71"/>
      <c r="AEN58" s="71"/>
      <c r="AEO58" s="71"/>
      <c r="AEP58" s="71"/>
      <c r="AEQ58" s="71"/>
      <c r="AER58" s="71"/>
      <c r="AES58" s="71"/>
      <c r="AET58" s="71"/>
      <c r="AEU58" s="71"/>
      <c r="AEV58" s="71"/>
      <c r="AEW58" s="71"/>
      <c r="AEX58" s="71"/>
      <c r="AEY58" s="71"/>
      <c r="AEZ58" s="71"/>
      <c r="AFA58" s="71"/>
      <c r="AFB58" s="71"/>
      <c r="AFC58" s="71"/>
      <c r="AFD58" s="71"/>
      <c r="AFE58" s="71"/>
      <c r="AFF58" s="71"/>
      <c r="AFG58" s="71"/>
      <c r="AFH58" s="71"/>
      <c r="AFI58" s="71"/>
      <c r="AFJ58" s="71"/>
      <c r="AFK58" s="71"/>
      <c r="AFL58" s="71"/>
      <c r="AFM58" s="71"/>
      <c r="AFN58" s="71"/>
      <c r="AFO58" s="71"/>
      <c r="AFP58" s="71"/>
      <c r="AFQ58" s="71"/>
      <c r="AFR58" s="71"/>
      <c r="AFS58" s="71"/>
      <c r="AFT58" s="71"/>
      <c r="AFU58" s="71"/>
      <c r="AFV58" s="71"/>
      <c r="AFW58" s="71"/>
      <c r="AFX58" s="71"/>
      <c r="AFY58" s="71"/>
      <c r="AFZ58" s="71"/>
      <c r="AGA58" s="71"/>
      <c r="AGB58" s="71"/>
      <c r="AGC58" s="71"/>
      <c r="AGD58" s="71"/>
      <c r="AGE58" s="71"/>
      <c r="AGF58" s="71"/>
      <c r="AGG58" s="71"/>
      <c r="AGH58" s="71"/>
      <c r="AGI58" s="71"/>
      <c r="AGJ58" s="71"/>
      <c r="AGK58" s="71"/>
      <c r="AGL58" s="71"/>
      <c r="AGM58" s="71"/>
      <c r="AGN58" s="71"/>
      <c r="AGO58" s="71"/>
      <c r="AGP58" s="71"/>
      <c r="AGQ58" s="71"/>
      <c r="AGR58" s="71"/>
      <c r="AGS58" s="71"/>
      <c r="AGT58" s="71"/>
      <c r="AGU58" s="71"/>
      <c r="AGV58" s="71"/>
      <c r="AGW58" s="71"/>
      <c r="AGX58" s="71"/>
      <c r="AGY58" s="71"/>
      <c r="AGZ58" s="71"/>
      <c r="AHA58" s="71"/>
      <c r="AHB58" s="71"/>
      <c r="AHC58" s="71"/>
      <c r="AHD58" s="71"/>
      <c r="AHE58" s="71"/>
      <c r="AHF58" s="71"/>
      <c r="AHG58" s="71"/>
      <c r="AHH58" s="71"/>
      <c r="AHI58" s="71"/>
      <c r="AHJ58" s="71"/>
      <c r="AHK58" s="71"/>
      <c r="AHL58" s="71"/>
      <c r="AHM58" s="71"/>
      <c r="AHN58" s="71"/>
      <c r="AHO58" s="71"/>
      <c r="AHP58" s="71"/>
      <c r="AHQ58" s="71"/>
      <c r="AHR58" s="71"/>
      <c r="AHS58" s="71"/>
      <c r="AHT58" s="71"/>
      <c r="AHU58" s="71"/>
      <c r="AHV58" s="71"/>
      <c r="AHW58" s="71"/>
      <c r="AHX58" s="71"/>
      <c r="AHY58" s="71"/>
      <c r="AHZ58" s="71"/>
      <c r="AIA58" s="71"/>
      <c r="AIB58" s="71"/>
      <c r="AIC58" s="71"/>
      <c r="AID58" s="71"/>
      <c r="AIE58" s="71"/>
      <c r="AIF58" s="71"/>
      <c r="AIG58" s="71"/>
      <c r="AIH58" s="71"/>
      <c r="AII58" s="160" t="s">
        <v>63</v>
      </c>
      <c r="AIJ58" s="159" t="str">
        <f t="shared" ref="AIJ58:AIK63" si="10">AIQ2</f>
        <v>CBM</v>
      </c>
      <c r="AIK58" s="167">
        <f t="shared" si="10"/>
        <v>10300</v>
      </c>
      <c r="AIL58" s="158">
        <f>AIK2</f>
        <v>4837.7183473000014</v>
      </c>
      <c r="AIM58" s="158">
        <f>IF(AIY58&gt;0,AIY58,"0")</f>
        <v>5462.2816526999986</v>
      </c>
      <c r="AIN58" s="158">
        <f>IF(AIM58&lt;(AIK58*MASTER_DATA!D24),AIM58,(AIK58*MASTER_DATA!D24))</f>
        <v>721.00000000000011</v>
      </c>
      <c r="AIO58" s="158">
        <f>IF(AIX58&gt;0,AIX58,"0")</f>
        <v>4741.2816526999986</v>
      </c>
      <c r="AIP58" s="168">
        <f>AIO58*MASTER_DATA!D16/30.5</f>
        <v>453919.42379947525</v>
      </c>
      <c r="AIQ58" s="171">
        <f>AIO58*MASTER_DATA!E16/30.5</f>
        <v>82855.840029150801</v>
      </c>
      <c r="AIR58" s="70" t="s">
        <v>163</v>
      </c>
      <c r="AIT58" s="71"/>
      <c r="AIX58" s="199">
        <f>AIM58-AIN58</f>
        <v>4741.2816526999986</v>
      </c>
      <c r="AIY58" s="147">
        <f>AIK58-AIL58</f>
        <v>5462.2816526999986</v>
      </c>
      <c r="AJC58" s="151" t="s">
        <v>63</v>
      </c>
      <c r="AJD58" s="154">
        <v>2920</v>
      </c>
      <c r="AJE58" s="157">
        <v>533</v>
      </c>
    </row>
    <row r="59" spans="504:950" ht="28.5" customHeight="1" thickBot="1" x14ac:dyDescent="0.3">
      <c r="SJ59" s="134"/>
      <c r="ST59" s="134"/>
      <c r="SV59" s="134"/>
      <c r="SW59" s="134"/>
      <c r="SX59" s="134"/>
      <c r="SY59" s="134"/>
      <c r="SZ59" s="134"/>
      <c r="TA59" s="134"/>
      <c r="TB59" s="134"/>
      <c r="TC59" s="134"/>
      <c r="TD59" s="134"/>
      <c r="TE59" s="134"/>
      <c r="TF59" s="134"/>
      <c r="TG59" s="134"/>
      <c r="TH59" s="134"/>
      <c r="TI59" s="134"/>
      <c r="TJ59" s="134"/>
      <c r="TK59" s="134"/>
      <c r="TL59" s="134"/>
      <c r="TM59" s="134"/>
      <c r="TN59" s="134"/>
      <c r="TO59" s="134"/>
      <c r="TP59" s="134"/>
      <c r="TQ59" s="134"/>
      <c r="TR59" s="134"/>
      <c r="TS59" s="134"/>
      <c r="TT59" s="134"/>
      <c r="TU59" s="134"/>
      <c r="TV59" s="134"/>
      <c r="TW59" s="134"/>
      <c r="TX59" s="134"/>
      <c r="TY59" s="134"/>
      <c r="TZ59" s="134"/>
      <c r="UA59" s="134"/>
      <c r="UB59" s="134"/>
      <c r="UC59" s="134"/>
      <c r="UD59" s="134"/>
      <c r="UE59" s="134"/>
      <c r="UF59" s="134"/>
      <c r="UG59" s="134"/>
      <c r="UH59" s="134"/>
      <c r="UI59" s="134"/>
      <c r="UJ59" s="134"/>
      <c r="UK59" s="134"/>
      <c r="UL59" s="134"/>
      <c r="UM59" s="134"/>
      <c r="UN59" s="134"/>
      <c r="UO59" s="134"/>
      <c r="UP59" s="134"/>
      <c r="UQ59" s="134"/>
      <c r="UR59" s="172"/>
      <c r="US59" s="134"/>
      <c r="UT59" s="134"/>
      <c r="UU59" s="134"/>
      <c r="UV59" s="134"/>
      <c r="UW59" s="134"/>
      <c r="UX59" s="134"/>
      <c r="UY59" s="134"/>
      <c r="UZ59" s="134"/>
      <c r="VA59" s="134"/>
      <c r="VB59" s="134"/>
      <c r="VC59" s="134"/>
      <c r="VD59" s="134"/>
      <c r="VE59" s="134"/>
      <c r="VF59" s="134"/>
      <c r="VG59" s="134"/>
      <c r="VH59" s="134"/>
      <c r="VI59" s="134"/>
      <c r="VJ59" s="134"/>
      <c r="VK59" s="134"/>
      <c r="VL59" s="134"/>
      <c r="VM59" s="134"/>
      <c r="VN59" s="134"/>
      <c r="VO59" s="134"/>
      <c r="VP59" s="134"/>
      <c r="VQ59" s="134"/>
      <c r="VR59" s="134"/>
      <c r="VS59" s="134"/>
      <c r="VT59" s="134"/>
      <c r="VU59" s="134"/>
      <c r="VV59" s="134"/>
      <c r="VW59" s="134"/>
      <c r="VX59" s="134"/>
      <c r="VY59" s="134"/>
      <c r="VZ59" s="134"/>
      <c r="WA59" s="134"/>
      <c r="WB59" s="134"/>
      <c r="WC59" s="134"/>
      <c r="WD59" s="134"/>
      <c r="WE59" s="134"/>
      <c r="WF59" s="134"/>
      <c r="WG59" s="134"/>
      <c r="WH59" s="134"/>
      <c r="WI59" s="134"/>
      <c r="WJ59" s="134"/>
      <c r="WK59" s="134"/>
      <c r="WL59" s="134"/>
      <c r="WM59" s="134"/>
      <c r="WN59" s="134"/>
      <c r="WO59" s="134"/>
      <c r="WP59" s="134"/>
      <c r="WQ59" s="134"/>
      <c r="WR59" s="134"/>
      <c r="WS59" s="134"/>
      <c r="WT59" s="134"/>
      <c r="WU59" s="134"/>
      <c r="WV59" s="134"/>
      <c r="WW59" s="134"/>
      <c r="WX59" s="134"/>
      <c r="WY59" s="134"/>
      <c r="WZ59" s="134"/>
      <c r="XA59" s="134"/>
      <c r="XB59" s="134"/>
      <c r="XC59" s="134"/>
      <c r="XD59" s="134"/>
      <c r="XE59" s="134"/>
      <c r="XF59" s="134"/>
      <c r="XG59" s="134"/>
      <c r="XH59" s="134"/>
      <c r="XI59" s="134"/>
      <c r="XJ59" s="134"/>
      <c r="XK59" s="134"/>
      <c r="XL59" s="134"/>
      <c r="XM59" s="134"/>
      <c r="XN59" s="134"/>
      <c r="XO59" s="134"/>
      <c r="XP59" s="134"/>
      <c r="XQ59" s="134"/>
      <c r="XR59" s="134"/>
      <c r="XS59" s="134"/>
      <c r="XT59" s="134"/>
      <c r="XU59" s="134"/>
      <c r="XV59" s="134"/>
      <c r="XW59" s="134"/>
      <c r="XX59" s="134"/>
      <c r="XY59" s="134"/>
      <c r="XZ59" s="134"/>
      <c r="YA59" s="134"/>
      <c r="YB59" s="134"/>
      <c r="YC59" s="134"/>
      <c r="YD59" s="134"/>
      <c r="YE59" s="134"/>
      <c r="YF59" s="134"/>
      <c r="YG59" s="134"/>
      <c r="YH59" s="134"/>
      <c r="YI59" s="134"/>
      <c r="YJ59" s="134"/>
      <c r="YK59" s="134"/>
      <c r="YL59" s="134"/>
      <c r="YM59" s="134"/>
      <c r="YN59" s="134"/>
      <c r="YO59" s="134"/>
      <c r="YP59" s="134"/>
      <c r="YQ59" s="134"/>
      <c r="YR59" s="134"/>
      <c r="YS59" s="134"/>
      <c r="YT59" s="134"/>
      <c r="YU59" s="134"/>
      <c r="YV59" s="134"/>
      <c r="YW59" s="134"/>
      <c r="YX59" s="134"/>
      <c r="YY59" s="134"/>
      <c r="YZ59" s="134"/>
      <c r="ZA59" s="134"/>
      <c r="ZB59" s="134"/>
      <c r="ZC59" s="134"/>
      <c r="ZD59" s="134"/>
      <c r="ZE59" s="134"/>
      <c r="ZF59" s="134"/>
      <c r="ZG59" s="134"/>
      <c r="ZH59" s="134"/>
      <c r="ZI59" s="134"/>
      <c r="ZJ59" s="134"/>
      <c r="ZK59" s="134"/>
      <c r="ZL59" s="134"/>
      <c r="ZM59" s="134"/>
      <c r="ZN59" s="134"/>
      <c r="ZO59" s="134"/>
      <c r="ZP59" s="134"/>
      <c r="ZQ59" s="134"/>
      <c r="ZR59" s="134"/>
      <c r="ZS59" s="134"/>
      <c r="ZT59" s="134"/>
      <c r="ZU59" s="134"/>
      <c r="ZV59" s="134"/>
      <c r="ZW59" s="134"/>
      <c r="ZX59" s="134"/>
      <c r="ZY59" s="134"/>
      <c r="ZZ59" s="134"/>
      <c r="AAA59" s="134"/>
      <c r="AAB59" s="134"/>
      <c r="AAC59" s="134"/>
      <c r="AAD59" s="134"/>
      <c r="AAE59" s="134"/>
      <c r="AAF59" s="134"/>
      <c r="AAG59" s="134"/>
      <c r="AAH59" s="134"/>
      <c r="AAI59" s="134"/>
      <c r="AAJ59" s="134"/>
      <c r="AAK59" s="134"/>
      <c r="AAL59" s="134"/>
      <c r="AAM59" s="134"/>
      <c r="AAN59" s="134"/>
      <c r="AAO59" s="134"/>
      <c r="AAP59" s="134"/>
      <c r="AAQ59" s="134"/>
      <c r="AAR59" s="134"/>
      <c r="AAS59" s="134"/>
      <c r="AAT59" s="134"/>
      <c r="AAU59" s="134"/>
      <c r="AAV59" s="134"/>
      <c r="AAW59" s="134"/>
      <c r="AAX59" s="134"/>
      <c r="AAY59" s="134"/>
      <c r="AAZ59" s="134"/>
      <c r="ABA59" s="134"/>
      <c r="ABB59" s="134"/>
      <c r="ABC59" s="134"/>
      <c r="ABD59" s="134"/>
      <c r="ABE59" s="134"/>
      <c r="ABF59" s="134"/>
      <c r="ABG59" s="134"/>
      <c r="ABH59" s="134"/>
      <c r="ABI59" s="134"/>
      <c r="ABJ59" s="134"/>
      <c r="ABK59" s="134"/>
      <c r="ABL59" s="134"/>
      <c r="ABM59" s="134"/>
      <c r="ABN59" s="134"/>
      <c r="ABO59" s="134"/>
      <c r="ABP59" s="134"/>
      <c r="ABQ59" s="134"/>
      <c r="ABR59" s="134"/>
      <c r="ABS59" s="134"/>
      <c r="ABT59" s="134"/>
      <c r="ABU59" s="134"/>
      <c r="ABV59" s="134"/>
      <c r="ABW59" s="134"/>
      <c r="ABX59" s="134"/>
      <c r="ABY59" s="134"/>
      <c r="ABZ59" s="134"/>
      <c r="ACA59" s="134"/>
      <c r="ACB59" s="134"/>
      <c r="ACC59" s="134"/>
      <c r="ACD59" s="134"/>
      <c r="ACE59" s="134"/>
      <c r="ACF59" s="134"/>
      <c r="ACG59" s="134"/>
      <c r="ACH59" s="134"/>
      <c r="ACI59" s="134"/>
      <c r="ACJ59" s="134"/>
      <c r="ACK59" s="134"/>
      <c r="ACL59" s="134"/>
      <c r="ACM59" s="134"/>
      <c r="ACN59" s="134"/>
      <c r="ACO59" s="134"/>
      <c r="ACP59" s="134"/>
      <c r="ACQ59" s="134"/>
      <c r="ACR59" s="134"/>
      <c r="ACS59" s="134"/>
      <c r="ACT59" s="134"/>
      <c r="ACU59" s="134"/>
      <c r="ACV59" s="134"/>
      <c r="ACW59" s="134"/>
      <c r="ACX59" s="134"/>
      <c r="ACY59" s="134"/>
      <c r="ACZ59" s="134"/>
      <c r="ADA59" s="134"/>
      <c r="ADB59" s="134"/>
      <c r="ADC59" s="134"/>
      <c r="ADD59" s="134"/>
      <c r="ADE59" s="134"/>
      <c r="ADF59" s="134"/>
      <c r="ADG59" s="134"/>
      <c r="ADH59" s="134"/>
      <c r="ADI59" s="134"/>
      <c r="ADJ59" s="134"/>
      <c r="ADK59" s="134"/>
      <c r="ADL59" s="134"/>
      <c r="ADM59" s="134"/>
      <c r="ADN59" s="134"/>
      <c r="ADO59" s="134"/>
      <c r="ADP59" s="134"/>
      <c r="ADQ59" s="134"/>
      <c r="ADR59" s="134"/>
      <c r="ADS59" s="134"/>
      <c r="ADT59" s="134"/>
      <c r="ADU59" s="134"/>
      <c r="ADV59" s="134"/>
      <c r="ADW59" s="134"/>
      <c r="ADX59" s="134"/>
      <c r="ADY59" s="134"/>
      <c r="ADZ59" s="134"/>
      <c r="AEA59" s="134"/>
      <c r="AEB59" s="134"/>
      <c r="AEC59" s="134"/>
      <c r="AED59" s="134"/>
      <c r="AEE59" s="134"/>
      <c r="AEH59" s="71"/>
      <c r="AEI59" s="71"/>
      <c r="AEJ59" s="71"/>
      <c r="AEK59" s="71"/>
      <c r="AEL59" s="71"/>
      <c r="AEM59" s="71"/>
      <c r="AEN59" s="71"/>
      <c r="AEO59" s="71"/>
      <c r="AEP59" s="71"/>
      <c r="AEQ59" s="71"/>
      <c r="AER59" s="71"/>
      <c r="AES59" s="71"/>
      <c r="AET59" s="71"/>
      <c r="AEU59" s="71"/>
      <c r="AEV59" s="71"/>
      <c r="AEW59" s="71"/>
      <c r="AEX59" s="71"/>
      <c r="AEY59" s="71"/>
      <c r="AEZ59" s="71"/>
      <c r="AFA59" s="71"/>
      <c r="AFB59" s="71"/>
      <c r="AFC59" s="71"/>
      <c r="AFD59" s="71"/>
      <c r="AFE59" s="71"/>
      <c r="AFF59" s="71"/>
      <c r="AFG59" s="71"/>
      <c r="AFH59" s="71"/>
      <c r="AFI59" s="71"/>
      <c r="AFJ59" s="71"/>
      <c r="AFK59" s="71"/>
      <c r="AFL59" s="71"/>
      <c r="AFM59" s="71"/>
      <c r="AFN59" s="71"/>
      <c r="AFO59" s="71"/>
      <c r="AFP59" s="71"/>
      <c r="AFQ59" s="71"/>
      <c r="AFR59" s="71"/>
      <c r="AFS59" s="71"/>
      <c r="AFT59" s="71"/>
      <c r="AFU59" s="71"/>
      <c r="AFV59" s="71"/>
      <c r="AFW59" s="71"/>
      <c r="AFX59" s="71"/>
      <c r="AFY59" s="71"/>
      <c r="AFZ59" s="71"/>
      <c r="AGA59" s="71"/>
      <c r="AGB59" s="71"/>
      <c r="AGC59" s="71"/>
      <c r="AGD59" s="71"/>
      <c r="AGE59" s="71"/>
      <c r="AGF59" s="71"/>
      <c r="AGG59" s="71"/>
      <c r="AGH59" s="71"/>
      <c r="AGI59" s="71"/>
      <c r="AGJ59" s="71"/>
      <c r="AGK59" s="71"/>
      <c r="AGL59" s="71"/>
      <c r="AGM59" s="71"/>
      <c r="AGN59" s="71"/>
      <c r="AGO59" s="71"/>
      <c r="AGP59" s="71"/>
      <c r="AGQ59" s="71"/>
      <c r="AGR59" s="71"/>
      <c r="AGS59" s="71"/>
      <c r="AGT59" s="71"/>
      <c r="AGU59" s="71"/>
      <c r="AGV59" s="71"/>
      <c r="AGW59" s="71"/>
      <c r="AGX59" s="71"/>
      <c r="AGY59" s="71"/>
      <c r="AGZ59" s="71"/>
      <c r="AHA59" s="71"/>
      <c r="AHB59" s="71"/>
      <c r="AHC59" s="71"/>
      <c r="AHD59" s="71"/>
      <c r="AHE59" s="71"/>
      <c r="AHF59" s="71"/>
      <c r="AHG59" s="71"/>
      <c r="AHH59" s="71"/>
      <c r="AHI59" s="71"/>
      <c r="AHJ59" s="71"/>
      <c r="AHK59" s="71"/>
      <c r="AHL59" s="71"/>
      <c r="AHM59" s="71"/>
      <c r="AHN59" s="71"/>
      <c r="AHO59" s="71"/>
      <c r="AHP59" s="71"/>
      <c r="AHQ59" s="71"/>
      <c r="AHR59" s="71"/>
      <c r="AHS59" s="71"/>
      <c r="AHT59" s="71"/>
      <c r="AHU59" s="71"/>
      <c r="AHV59" s="71"/>
      <c r="AHW59" s="71"/>
      <c r="AHX59" s="71"/>
      <c r="AHY59" s="71"/>
      <c r="AHZ59" s="71"/>
      <c r="AIA59" s="71"/>
      <c r="AIB59" s="71"/>
      <c r="AIC59" s="71"/>
      <c r="AID59" s="71"/>
      <c r="AIE59" s="71"/>
      <c r="AIF59" s="71"/>
      <c r="AIG59" s="71"/>
      <c r="AIH59" s="71"/>
      <c r="AII59" s="160" t="s">
        <v>68</v>
      </c>
      <c r="AIJ59" s="159" t="str">
        <f t="shared" si="10"/>
        <v>CBM</v>
      </c>
      <c r="AIK59" s="167">
        <f t="shared" si="10"/>
        <v>100</v>
      </c>
      <c r="AIL59" s="158">
        <f t="shared" ref="AIL59:AIL64" si="11">AIK3</f>
        <v>36.439366699999859</v>
      </c>
      <c r="AIM59" s="158">
        <f t="shared" ref="AIM59:AIM64" si="12">IF(AIY59&gt;0,AIY59,"0")</f>
        <v>63.560633300000141</v>
      </c>
      <c r="AIN59" s="158">
        <f>IF(AIM59&lt;(AIK59*MASTER_DATA!D25),AIM59,(AIK59*MASTER_DATA!D25))</f>
        <v>3</v>
      </c>
      <c r="AIO59" s="158">
        <f>IF(AIX59&gt;0,AIX59,"0")</f>
        <v>60.560633300000141</v>
      </c>
      <c r="AIP59" s="168">
        <f>AIO59*MASTER_DATA!D17/30.5</f>
        <v>5797.9360405246034</v>
      </c>
      <c r="AIQ59" s="171">
        <f>AIO59*MASTER_DATA!E17/30.5</f>
        <v>1058.3218868491829</v>
      </c>
      <c r="AIR59" s="70"/>
      <c r="AIT59" s="71"/>
      <c r="AIX59" s="199">
        <f>AIM59-AIN59</f>
        <v>60.560633300000141</v>
      </c>
      <c r="AIY59" s="147">
        <f t="shared" ref="AIY59:AIY63" si="13">AIK59-AIL59</f>
        <v>63.560633300000141</v>
      </c>
      <c r="AJC59" s="151" t="s">
        <v>63</v>
      </c>
      <c r="AJD59" s="154">
        <v>2920</v>
      </c>
      <c r="AJE59" s="157">
        <v>533</v>
      </c>
    </row>
    <row r="60" spans="504:950" ht="15.75" thickBot="1" x14ac:dyDescent="0.3">
      <c r="SJ60" s="134"/>
      <c r="SV60" s="134"/>
      <c r="SW60" s="134"/>
      <c r="SX60" s="134"/>
      <c r="SY60" s="134"/>
      <c r="SZ60" s="134"/>
      <c r="TA60" s="134"/>
      <c r="TB60" s="134"/>
      <c r="TC60" s="134"/>
      <c r="TD60" s="134"/>
      <c r="TE60" s="134"/>
      <c r="TF60" s="134"/>
      <c r="TG60" s="134"/>
      <c r="TH60" s="134"/>
      <c r="TI60" s="134"/>
      <c r="TJ60" s="134"/>
      <c r="TK60" s="134"/>
      <c r="TL60" s="134"/>
      <c r="TM60" s="134"/>
      <c r="TN60" s="134"/>
      <c r="TO60" s="134"/>
      <c r="TP60" s="134"/>
      <c r="TQ60" s="134"/>
      <c r="TR60" s="134"/>
      <c r="TS60" s="134"/>
      <c r="TT60" s="134"/>
      <c r="TU60" s="134"/>
      <c r="TV60" s="134"/>
      <c r="TW60" s="134"/>
      <c r="TX60" s="134"/>
      <c r="TY60" s="134"/>
      <c r="TZ60" s="134"/>
      <c r="UA60" s="134"/>
      <c r="UB60" s="134"/>
      <c r="UC60" s="134"/>
      <c r="UD60" s="134"/>
      <c r="UE60" s="134"/>
      <c r="UF60" s="134"/>
      <c r="UG60" s="134"/>
      <c r="UH60" s="134"/>
      <c r="UI60" s="134"/>
      <c r="UJ60" s="134"/>
      <c r="UK60" s="134"/>
      <c r="UL60" s="134"/>
      <c r="UM60" s="134"/>
      <c r="UN60" s="134"/>
      <c r="UO60" s="134"/>
      <c r="UP60" s="134"/>
      <c r="UQ60" s="134"/>
      <c r="UR60" s="134"/>
      <c r="US60" s="134"/>
      <c r="UT60" s="134"/>
      <c r="UU60" s="134"/>
      <c r="UV60" s="134"/>
      <c r="UW60" s="134"/>
      <c r="UX60" s="134"/>
      <c r="UY60" s="134"/>
      <c r="UZ60" s="134"/>
      <c r="VA60" s="134"/>
      <c r="VB60" s="134"/>
      <c r="VC60" s="134"/>
      <c r="VD60" s="134"/>
      <c r="VE60" s="134"/>
      <c r="VF60" s="134"/>
      <c r="VG60" s="134"/>
      <c r="VH60" s="134"/>
      <c r="VI60" s="134"/>
      <c r="VJ60" s="134"/>
      <c r="VK60" s="134"/>
      <c r="VL60" s="134"/>
      <c r="VM60" s="134"/>
      <c r="VN60" s="134"/>
      <c r="VO60" s="134"/>
      <c r="VP60" s="134"/>
      <c r="VQ60" s="134"/>
      <c r="VR60" s="134"/>
      <c r="VS60" s="134"/>
      <c r="VT60" s="134"/>
      <c r="VU60" s="134"/>
      <c r="VV60" s="134"/>
      <c r="VW60" s="134"/>
      <c r="VX60" s="134"/>
      <c r="VY60" s="134"/>
      <c r="VZ60" s="134"/>
      <c r="WA60" s="134"/>
      <c r="WB60" s="134"/>
      <c r="WC60" s="134"/>
      <c r="WD60" s="134"/>
      <c r="WE60" s="134"/>
      <c r="WF60" s="134"/>
      <c r="WG60" s="134"/>
      <c r="WH60" s="134"/>
      <c r="WI60" s="134"/>
      <c r="WJ60" s="134">
        <f t="shared" si="9"/>
        <v>4094.3591000000006</v>
      </c>
      <c r="WK60" s="134"/>
      <c r="WL60" s="134"/>
      <c r="WM60" s="134"/>
      <c r="WN60" s="134"/>
      <c r="WO60" s="134"/>
      <c r="WP60" s="134"/>
      <c r="WQ60" s="134"/>
      <c r="WR60" s="134"/>
      <c r="WS60" s="134"/>
      <c r="WT60" s="134"/>
      <c r="WU60" s="134"/>
      <c r="WV60" s="134"/>
      <c r="WW60" s="134"/>
      <c r="WX60" s="134"/>
      <c r="WY60" s="134"/>
      <c r="WZ60" s="134"/>
      <c r="XA60" s="134"/>
      <c r="XB60" s="134"/>
      <c r="XC60" s="134"/>
      <c r="XD60" s="134"/>
      <c r="XE60" s="134"/>
      <c r="XF60" s="134"/>
      <c r="XG60" s="134"/>
      <c r="XH60" s="134"/>
      <c r="XI60" s="134"/>
      <c r="XJ60" s="134"/>
      <c r="XK60" s="134"/>
      <c r="XL60" s="134"/>
      <c r="XM60" s="134"/>
      <c r="XN60" s="134"/>
      <c r="XO60" s="134"/>
      <c r="XP60" s="134"/>
      <c r="XQ60" s="134"/>
      <c r="XR60" s="134"/>
      <c r="XS60" s="134"/>
      <c r="XT60" s="134"/>
      <c r="XU60" s="134"/>
      <c r="XV60" s="134"/>
      <c r="XW60" s="134"/>
      <c r="XX60" s="134"/>
      <c r="XY60" s="134"/>
      <c r="XZ60" s="134"/>
      <c r="YA60" s="134"/>
      <c r="YB60" s="134"/>
      <c r="YC60" s="134"/>
      <c r="YD60" s="134"/>
      <c r="YE60" s="134"/>
      <c r="YF60" s="134"/>
      <c r="YG60" s="134"/>
      <c r="YH60" s="134"/>
      <c r="YI60" s="134"/>
      <c r="YJ60" s="134"/>
      <c r="YK60" s="134"/>
      <c r="YL60" s="134"/>
      <c r="YM60" s="134"/>
      <c r="YN60" s="134"/>
      <c r="YO60" s="134"/>
      <c r="YP60" s="134"/>
      <c r="YQ60" s="134"/>
      <c r="YR60" s="134"/>
      <c r="YS60" s="134"/>
      <c r="YT60" s="134"/>
      <c r="YU60" s="134"/>
      <c r="YV60" s="134"/>
      <c r="YW60" s="134"/>
      <c r="YX60" s="134"/>
      <c r="YY60" s="134"/>
      <c r="YZ60" s="134"/>
      <c r="ZA60" s="134"/>
      <c r="ZB60" s="134"/>
      <c r="ZC60" s="134"/>
      <c r="ZD60" s="134"/>
      <c r="ZE60" s="134"/>
      <c r="ZF60" s="134"/>
      <c r="ZG60" s="134"/>
      <c r="ZH60" s="134"/>
      <c r="ZI60" s="134"/>
      <c r="ZJ60" s="134"/>
      <c r="ZK60" s="134"/>
      <c r="ZL60" s="134"/>
      <c r="ZM60" s="134"/>
      <c r="ZN60" s="134"/>
      <c r="ZO60" s="134"/>
      <c r="ZP60" s="134"/>
      <c r="ZQ60" s="134"/>
      <c r="ZR60" s="134"/>
      <c r="ZS60" s="134"/>
      <c r="ZT60" s="134"/>
      <c r="ZU60" s="134"/>
      <c r="ZV60" s="134"/>
      <c r="ZW60" s="134"/>
      <c r="ZX60" s="134"/>
      <c r="ZY60" s="134"/>
      <c r="ZZ60" s="134"/>
      <c r="AAA60" s="134"/>
      <c r="AAB60" s="134"/>
      <c r="AAC60" s="134"/>
      <c r="AAD60" s="134"/>
      <c r="AAE60" s="134"/>
      <c r="AAF60" s="134"/>
      <c r="AAG60" s="134"/>
      <c r="AAH60" s="134"/>
      <c r="AAI60" s="134"/>
      <c r="AAJ60" s="134"/>
      <c r="AAK60" s="134"/>
      <c r="AAL60" s="134"/>
      <c r="AAM60" s="134"/>
      <c r="AAN60" s="134"/>
      <c r="AAO60" s="134"/>
      <c r="AAP60" s="134"/>
      <c r="AAQ60" s="134"/>
      <c r="AAR60" s="134"/>
      <c r="AAS60" s="134"/>
      <c r="AAT60" s="134"/>
      <c r="AAU60" s="134"/>
      <c r="AAV60" s="134"/>
      <c r="AAW60" s="134"/>
      <c r="AAX60" s="134"/>
      <c r="AAY60" s="134"/>
      <c r="AAZ60" s="134"/>
      <c r="ABA60" s="134"/>
      <c r="ABB60" s="134"/>
      <c r="ABC60" s="134"/>
      <c r="ABD60" s="134"/>
      <c r="ABE60" s="134"/>
      <c r="ABF60" s="134"/>
      <c r="ABG60" s="134"/>
      <c r="ABH60" s="134"/>
      <c r="ABI60" s="134"/>
      <c r="ABJ60" s="134"/>
      <c r="ABK60" s="134"/>
      <c r="ABL60" s="134"/>
      <c r="ABM60" s="134"/>
      <c r="ABN60" s="134"/>
      <c r="ABO60" s="134"/>
      <c r="ABP60" s="134"/>
      <c r="ABQ60" s="134"/>
      <c r="ABR60" s="134"/>
      <c r="ABS60" s="134"/>
      <c r="ABT60" s="134"/>
      <c r="ABU60" s="134"/>
      <c r="ABV60" s="134"/>
      <c r="ABW60" s="134"/>
      <c r="ABX60" s="134"/>
      <c r="ABY60" s="134"/>
      <c r="ABZ60" s="134"/>
      <c r="ACA60" s="134"/>
      <c r="ACB60" s="134"/>
      <c r="ACC60" s="134"/>
      <c r="ACD60" s="134"/>
      <c r="ACE60" s="134"/>
      <c r="ACF60" s="134"/>
      <c r="ACG60" s="134"/>
      <c r="ACH60" s="134"/>
      <c r="ACI60" s="134"/>
      <c r="ACJ60" s="134"/>
      <c r="ACK60" s="134"/>
      <c r="ACL60" s="134"/>
      <c r="ACM60" s="134"/>
      <c r="ACN60" s="134"/>
      <c r="ACO60" s="134"/>
      <c r="ACP60" s="134"/>
      <c r="ACQ60" s="134"/>
      <c r="ACR60" s="134"/>
      <c r="ACS60" s="134"/>
      <c r="ACT60" s="134"/>
      <c r="ACU60" s="134"/>
      <c r="ACV60" s="134"/>
      <c r="ACW60" s="134"/>
      <c r="ACX60" s="134"/>
      <c r="ACY60" s="134"/>
      <c r="ACZ60" s="134"/>
      <c r="ADA60" s="134"/>
      <c r="ADB60" s="134"/>
      <c r="ADC60" s="134"/>
      <c r="ADD60" s="134"/>
      <c r="ADE60" s="134"/>
      <c r="ADF60" s="134"/>
      <c r="ADG60" s="134"/>
      <c r="ADH60" s="134"/>
      <c r="ADI60" s="134"/>
      <c r="ADJ60" s="134"/>
      <c r="ADK60" s="134"/>
      <c r="ADL60" s="134"/>
      <c r="ADM60" s="134"/>
      <c r="ADN60" s="134"/>
      <c r="ADO60" s="134"/>
      <c r="ADP60" s="134"/>
      <c r="ADQ60" s="134"/>
      <c r="ADR60" s="134"/>
      <c r="ADS60" s="134"/>
      <c r="ADT60" s="134"/>
      <c r="ADU60" s="134"/>
      <c r="ADV60" s="134"/>
      <c r="ADW60" s="134"/>
      <c r="ADX60" s="134"/>
      <c r="ADY60" s="134"/>
      <c r="ADZ60" s="134"/>
      <c r="AEA60" s="134"/>
      <c r="AEB60" s="134"/>
      <c r="AEC60" s="134"/>
      <c r="AED60" s="134"/>
      <c r="AEE60" s="134"/>
      <c r="AEH60" s="71"/>
      <c r="AEI60" s="71"/>
      <c r="AEJ60" s="71"/>
      <c r="AEK60" s="71"/>
      <c r="AEL60" s="71"/>
      <c r="AEM60" s="71"/>
      <c r="AEN60" s="71"/>
      <c r="AEO60" s="71"/>
      <c r="AEP60" s="71"/>
      <c r="AEQ60" s="71"/>
      <c r="AER60" s="71"/>
      <c r="AES60" s="71"/>
      <c r="AET60" s="71"/>
      <c r="AEU60" s="71"/>
      <c r="AEV60" s="71"/>
      <c r="AEW60" s="71"/>
      <c r="AEX60" s="71"/>
      <c r="AEY60" s="71"/>
      <c r="AEZ60" s="71"/>
      <c r="AFA60" s="71"/>
      <c r="AFB60" s="71"/>
      <c r="AFC60" s="71"/>
      <c r="AFD60" s="71"/>
      <c r="AFE60" s="71"/>
      <c r="AFF60" s="71"/>
      <c r="AFG60" s="71"/>
      <c r="AFH60" s="71"/>
      <c r="AFI60" s="71"/>
      <c r="AFJ60" s="71"/>
      <c r="AFK60" s="71"/>
      <c r="AFL60" s="71"/>
      <c r="AFM60" s="71"/>
      <c r="AFN60" s="71"/>
      <c r="AFO60" s="71"/>
      <c r="AFP60" s="71"/>
      <c r="AFQ60" s="71"/>
      <c r="AFR60" s="71"/>
      <c r="AFS60" s="71"/>
      <c r="AFT60" s="71"/>
      <c r="AFU60" s="71"/>
      <c r="AFV60" s="71"/>
      <c r="AFW60" s="71"/>
      <c r="AFX60" s="71"/>
      <c r="AFY60" s="71"/>
      <c r="AFZ60" s="71"/>
      <c r="AGA60" s="71"/>
      <c r="AGB60" s="71"/>
      <c r="AGC60" s="71"/>
      <c r="AGD60" s="71"/>
      <c r="AGE60" s="71"/>
      <c r="AGF60" s="71"/>
      <c r="AGG60" s="71"/>
      <c r="AGH60" s="71"/>
      <c r="AGI60" s="71"/>
      <c r="AGJ60" s="71"/>
      <c r="AGK60" s="71"/>
      <c r="AGL60" s="71"/>
      <c r="AGM60" s="71"/>
      <c r="AGN60" s="71"/>
      <c r="AGO60" s="71"/>
      <c r="AGP60" s="71"/>
      <c r="AGQ60" s="71"/>
      <c r="AGR60" s="71"/>
      <c r="AGS60" s="71"/>
      <c r="AGT60" s="71"/>
      <c r="AGU60" s="71"/>
      <c r="AGV60" s="71"/>
      <c r="AGW60" s="71"/>
      <c r="AGX60" s="71"/>
      <c r="AGY60" s="71"/>
      <c r="AGZ60" s="71"/>
      <c r="AHA60" s="71"/>
      <c r="AHB60" s="71"/>
      <c r="AHC60" s="71"/>
      <c r="AHD60" s="71"/>
      <c r="AHE60" s="71"/>
      <c r="AHF60" s="71"/>
      <c r="AHG60" s="71"/>
      <c r="AHH60" s="71"/>
      <c r="AHI60" s="71"/>
      <c r="AHJ60" s="71"/>
      <c r="AHK60" s="71"/>
      <c r="AHL60" s="71"/>
      <c r="AHM60" s="71"/>
      <c r="AHN60" s="71"/>
      <c r="AHO60" s="71"/>
      <c r="AHP60" s="71"/>
      <c r="AHQ60" s="71"/>
      <c r="AHR60" s="71"/>
      <c r="AHS60" s="71"/>
      <c r="AHT60" s="71"/>
      <c r="AHU60" s="71"/>
      <c r="AHV60" s="71"/>
      <c r="AHW60" s="71"/>
      <c r="AHX60" s="71"/>
      <c r="AHY60" s="71"/>
      <c r="AHZ60" s="71"/>
      <c r="AIA60" s="71"/>
      <c r="AIB60" s="71"/>
      <c r="AIC60" s="71"/>
      <c r="AID60" s="71"/>
      <c r="AIE60" s="71"/>
      <c r="AIF60" s="71"/>
      <c r="AIG60" s="71"/>
      <c r="AIH60" s="71"/>
      <c r="AII60" s="160" t="s">
        <v>64</v>
      </c>
      <c r="AIJ60" s="159" t="str">
        <f t="shared" si="10"/>
        <v>CBM</v>
      </c>
      <c r="AIK60" s="167">
        <f t="shared" si="10"/>
        <v>10250</v>
      </c>
      <c r="AIL60" s="158">
        <f t="shared" si="11"/>
        <v>6155.6408999999994</v>
      </c>
      <c r="AIM60" s="158">
        <f t="shared" si="12"/>
        <v>4094.3591000000006</v>
      </c>
      <c r="AIN60" s="158">
        <f>IF(AIM60&lt;(AIK60*MASTER_DATA!D26),AIM60,(AIK60*MASTER_DATA!D26))</f>
        <v>307.5</v>
      </c>
      <c r="AIO60" s="158">
        <f t="shared" ref="AIO60:AIO64" si="14">IF(AIX60&gt;0,AIX60,"0")</f>
        <v>3786.8591000000006</v>
      </c>
      <c r="AIP60" s="168">
        <f>AIO60*MASTER_DATA!D18/30.5</f>
        <v>309405.0123672132</v>
      </c>
      <c r="AIQ60" s="169">
        <f>AIO60*MASTER_DATA!E18/30.5</f>
        <v>76978.775147541004</v>
      </c>
      <c r="AIR60" s="70" t="s">
        <v>116</v>
      </c>
      <c r="AIX60" s="147">
        <f t="shared" ref="AIX60:AIX64" si="15">AIM60-AIN60</f>
        <v>3786.8591000000006</v>
      </c>
      <c r="AIY60" s="147">
        <f t="shared" si="13"/>
        <v>4094.3591000000006</v>
      </c>
      <c r="AJC60" s="152" t="s">
        <v>64</v>
      </c>
      <c r="AJD60" s="155">
        <v>2492</v>
      </c>
      <c r="AJE60" s="35">
        <v>620</v>
      </c>
    </row>
    <row r="61" spans="504:950" ht="30.75" thickBot="1" x14ac:dyDescent="0.3">
      <c r="SJ61" s="134">
        <f>9500*7/100</f>
        <v>665</v>
      </c>
      <c r="SV61" s="134"/>
      <c r="SW61" s="134"/>
      <c r="SX61" s="134"/>
      <c r="SY61" s="134"/>
      <c r="SZ61" s="134"/>
      <c r="TA61" s="134"/>
      <c r="TB61" s="134"/>
      <c r="TC61" s="134"/>
      <c r="TD61" s="134"/>
      <c r="TE61" s="134"/>
      <c r="TF61" s="134"/>
      <c r="TG61" s="134"/>
      <c r="TH61" s="134"/>
      <c r="TI61" s="134"/>
      <c r="TJ61" s="134"/>
      <c r="TK61" s="134"/>
      <c r="TL61" s="134"/>
      <c r="TM61" s="134"/>
      <c r="TN61" s="134"/>
      <c r="TO61" s="134"/>
      <c r="TP61" s="134"/>
      <c r="TQ61" s="134"/>
      <c r="TR61" s="134"/>
      <c r="TS61" s="134"/>
      <c r="TT61" s="134"/>
      <c r="TU61" s="134"/>
      <c r="TV61" s="134"/>
      <c r="TW61" s="134"/>
      <c r="TX61" s="134"/>
      <c r="TY61" s="134"/>
      <c r="TZ61" s="134"/>
      <c r="UA61" s="134"/>
      <c r="UB61" s="134"/>
      <c r="UC61" s="134"/>
      <c r="UD61" s="134"/>
      <c r="UE61" s="134"/>
      <c r="UF61" s="134"/>
      <c r="UG61" s="134"/>
      <c r="UH61" s="134"/>
      <c r="UI61" s="134"/>
      <c r="UJ61" s="134"/>
      <c r="UK61" s="134"/>
      <c r="UL61" s="134"/>
      <c r="UM61" s="134"/>
      <c r="UN61" s="134"/>
      <c r="UO61" s="134"/>
      <c r="UP61" s="134"/>
      <c r="UQ61" s="134"/>
      <c r="UR61" s="134"/>
      <c r="US61" s="134"/>
      <c r="UT61" s="134"/>
      <c r="UU61" s="134"/>
      <c r="UV61" s="134"/>
      <c r="UW61" s="134"/>
      <c r="UX61" s="134"/>
      <c r="UY61" s="134"/>
      <c r="UZ61" s="134"/>
      <c r="VA61" s="134"/>
      <c r="VB61" s="134"/>
      <c r="VC61" s="134"/>
      <c r="VD61" s="134"/>
      <c r="VE61" s="134"/>
      <c r="VF61" s="134"/>
      <c r="VG61" s="134"/>
      <c r="VH61" s="134"/>
      <c r="VI61" s="134"/>
      <c r="VJ61" s="134"/>
      <c r="VK61" s="134"/>
      <c r="VL61" s="134"/>
      <c r="VM61" s="134"/>
      <c r="VN61" s="134"/>
      <c r="VO61" s="134"/>
      <c r="VP61" s="134"/>
      <c r="VQ61" s="134"/>
      <c r="VR61" s="134"/>
      <c r="VS61" s="134"/>
      <c r="VT61" s="134"/>
      <c r="VU61" s="134"/>
      <c r="VV61" s="134"/>
      <c r="VW61" s="134"/>
      <c r="VX61" s="134"/>
      <c r="VY61" s="134"/>
      <c r="VZ61" s="134"/>
      <c r="WA61" s="134"/>
      <c r="WB61" s="134"/>
      <c r="WC61" s="134"/>
      <c r="WD61" s="134"/>
      <c r="WE61" s="134"/>
      <c r="WF61" s="134"/>
      <c r="WG61" s="134"/>
      <c r="WH61" s="134"/>
      <c r="WI61" s="134"/>
      <c r="WJ61" s="134">
        <f t="shared" si="9"/>
        <v>12226.328100000001</v>
      </c>
      <c r="WK61" s="134"/>
      <c r="WL61" s="134"/>
      <c r="WM61" s="134"/>
      <c r="WN61" s="134"/>
      <c r="WO61" s="134"/>
      <c r="WP61" s="134"/>
      <c r="WQ61" s="134"/>
      <c r="WR61" s="134"/>
      <c r="WS61" s="134"/>
      <c r="WT61" s="134"/>
      <c r="WU61" s="134"/>
      <c r="WV61" s="134"/>
      <c r="WW61" s="134"/>
      <c r="WX61" s="134"/>
      <c r="WY61" s="134"/>
      <c r="WZ61" s="134"/>
      <c r="XA61" s="134"/>
      <c r="XB61" s="134"/>
      <c r="XC61" s="134"/>
      <c r="XD61" s="134"/>
      <c r="XE61" s="134"/>
      <c r="XF61" s="134"/>
      <c r="XG61" s="134"/>
      <c r="XH61" s="134"/>
      <c r="XI61" s="134"/>
      <c r="XJ61" s="134"/>
      <c r="XK61" s="134"/>
      <c r="XL61" s="134"/>
      <c r="XM61" s="134"/>
      <c r="XN61" s="134"/>
      <c r="XO61" s="134"/>
      <c r="XP61" s="134"/>
      <c r="XQ61" s="134"/>
      <c r="XR61" s="134"/>
      <c r="XS61" s="134"/>
      <c r="XT61" s="134"/>
      <c r="XU61" s="134"/>
      <c r="XV61" s="134"/>
      <c r="XW61" s="134"/>
      <c r="XX61" s="134"/>
      <c r="XY61" s="134"/>
      <c r="XZ61" s="134"/>
      <c r="YA61" s="134"/>
      <c r="YB61" s="134"/>
      <c r="YC61" s="134"/>
      <c r="YD61" s="134"/>
      <c r="YE61" s="134"/>
      <c r="YF61" s="134"/>
      <c r="YG61" s="134"/>
      <c r="YH61" s="134"/>
      <c r="YI61" s="134"/>
      <c r="YJ61" s="134"/>
      <c r="YK61" s="134"/>
      <c r="YL61" s="134"/>
      <c r="YM61" s="134"/>
      <c r="YN61" s="134"/>
      <c r="YO61" s="134"/>
      <c r="YP61" s="134"/>
      <c r="YQ61" s="134"/>
      <c r="YR61" s="134"/>
      <c r="YS61" s="134"/>
      <c r="YT61" s="134"/>
      <c r="YU61" s="134"/>
      <c r="YV61" s="134"/>
      <c r="YW61" s="134"/>
      <c r="YX61" s="134"/>
      <c r="YY61" s="134"/>
      <c r="YZ61" s="134"/>
      <c r="ZA61" s="134"/>
      <c r="ZB61" s="134"/>
      <c r="ZC61" s="134"/>
      <c r="ZD61" s="134"/>
      <c r="ZE61" s="134"/>
      <c r="ZF61" s="134"/>
      <c r="ZG61" s="134"/>
      <c r="ZH61" s="134"/>
      <c r="ZI61" s="134"/>
      <c r="ZJ61" s="134"/>
      <c r="ZK61" s="134"/>
      <c r="ZL61" s="134"/>
      <c r="ZM61" s="134"/>
      <c r="ZN61" s="134"/>
      <c r="ZO61" s="134"/>
      <c r="ZP61" s="134"/>
      <c r="ZQ61" s="134"/>
      <c r="ZR61" s="134"/>
      <c r="ZS61" s="134"/>
      <c r="ZT61" s="134"/>
      <c r="ZU61" s="134"/>
      <c r="ZV61" s="134"/>
      <c r="ZW61" s="134"/>
      <c r="ZX61" s="134"/>
      <c r="ZY61" s="134"/>
      <c r="ZZ61" s="134"/>
      <c r="AAA61" s="134"/>
      <c r="AAB61" s="134"/>
      <c r="AAC61" s="134"/>
      <c r="AAD61" s="134"/>
      <c r="AAE61" s="134"/>
      <c r="AAF61" s="134"/>
      <c r="AAG61" s="134"/>
      <c r="AAH61" s="134"/>
      <c r="AAI61" s="134"/>
      <c r="AAJ61" s="134"/>
      <c r="AAK61" s="134"/>
      <c r="AAL61" s="134"/>
      <c r="AAM61" s="134"/>
      <c r="AAN61" s="134"/>
      <c r="AAO61" s="134"/>
      <c r="AAP61" s="134"/>
      <c r="AAQ61" s="134"/>
      <c r="AAR61" s="134"/>
      <c r="AAS61" s="134"/>
      <c r="AAT61" s="134"/>
      <c r="AAU61" s="134"/>
      <c r="AAV61" s="134"/>
      <c r="AAW61" s="134"/>
      <c r="AAX61" s="134"/>
      <c r="AAY61" s="134"/>
      <c r="AAZ61" s="134"/>
      <c r="ABA61" s="134"/>
      <c r="ABB61" s="134"/>
      <c r="ABC61" s="134"/>
      <c r="ABD61" s="134"/>
      <c r="ABE61" s="134"/>
      <c r="ABF61" s="134"/>
      <c r="ABG61" s="134"/>
      <c r="ABH61" s="134"/>
      <c r="ABI61" s="134"/>
      <c r="ABJ61" s="134"/>
      <c r="ABK61" s="134"/>
      <c r="ABL61" s="134"/>
      <c r="ABM61" s="134"/>
      <c r="ABN61" s="134"/>
      <c r="ABO61" s="134"/>
      <c r="ABP61" s="134"/>
      <c r="ABQ61" s="134"/>
      <c r="ABR61" s="134"/>
      <c r="ABS61" s="134"/>
      <c r="ABT61" s="134"/>
      <c r="ABU61" s="134"/>
      <c r="ABV61" s="134"/>
      <c r="ABW61" s="134"/>
      <c r="ABX61" s="134"/>
      <c r="ABY61" s="134"/>
      <c r="ABZ61" s="134"/>
      <c r="ACA61" s="134"/>
      <c r="ACB61" s="134"/>
      <c r="ACC61" s="134"/>
      <c r="ACD61" s="134"/>
      <c r="ACE61" s="134"/>
      <c r="ACF61" s="134"/>
      <c r="ACG61" s="134"/>
      <c r="ACH61" s="134"/>
      <c r="ACI61" s="134"/>
      <c r="ACJ61" s="134"/>
      <c r="ACK61" s="134"/>
      <c r="ACL61" s="134"/>
      <c r="ACM61" s="134"/>
      <c r="ACN61" s="134"/>
      <c r="ACO61" s="134"/>
      <c r="ACP61" s="134"/>
      <c r="ACQ61" s="134"/>
      <c r="ACR61" s="134"/>
      <c r="ACS61" s="134"/>
      <c r="ACT61" s="134"/>
      <c r="ACU61" s="134"/>
      <c r="ACV61" s="134"/>
      <c r="ACW61" s="134"/>
      <c r="ACX61" s="134"/>
      <c r="ACY61" s="134"/>
      <c r="ACZ61" s="134"/>
      <c r="ADA61" s="134"/>
      <c r="ADB61" s="134"/>
      <c r="ADC61" s="134"/>
      <c r="ADD61" s="134"/>
      <c r="ADE61" s="134"/>
      <c r="ADF61" s="134"/>
      <c r="ADG61" s="134"/>
      <c r="ADH61" s="134"/>
      <c r="ADI61" s="134"/>
      <c r="ADJ61" s="134"/>
      <c r="ADK61" s="134"/>
      <c r="ADL61" s="134"/>
      <c r="ADM61" s="134"/>
      <c r="ADN61" s="134"/>
      <c r="ADO61" s="134"/>
      <c r="ADP61" s="134"/>
      <c r="ADQ61" s="134"/>
      <c r="ADR61" s="134"/>
      <c r="ADS61" s="134"/>
      <c r="ADT61" s="134"/>
      <c r="ADU61" s="134"/>
      <c r="ADV61" s="134"/>
      <c r="ADW61" s="134"/>
      <c r="ADX61" s="134"/>
      <c r="ADY61" s="134"/>
      <c r="ADZ61" s="134"/>
      <c r="AEA61" s="134"/>
      <c r="AEB61" s="134"/>
      <c r="AEC61" s="134"/>
      <c r="AED61" s="134"/>
      <c r="AEE61" s="134"/>
      <c r="AEH61" s="71"/>
      <c r="AEI61" s="71"/>
      <c r="AEJ61" s="71"/>
      <c r="AEK61" s="71"/>
      <c r="AEL61" s="71"/>
      <c r="AEM61" s="71"/>
      <c r="AEN61" s="71"/>
      <c r="AEO61" s="71"/>
      <c r="AEP61" s="71"/>
      <c r="AEQ61" s="71"/>
      <c r="AER61" s="71"/>
      <c r="AES61" s="71"/>
      <c r="AET61" s="71"/>
      <c r="AEU61" s="71"/>
      <c r="AEV61" s="71"/>
      <c r="AEW61" s="71"/>
      <c r="AEX61" s="71"/>
      <c r="AEY61" s="71"/>
      <c r="AEZ61" s="71"/>
      <c r="AFA61" s="71"/>
      <c r="AFB61" s="71"/>
      <c r="AFC61" s="71"/>
      <c r="AFD61" s="71"/>
      <c r="AFE61" s="71"/>
      <c r="AFF61" s="71"/>
      <c r="AFG61" s="71"/>
      <c r="AFH61" s="71"/>
      <c r="AFI61" s="71"/>
      <c r="AFJ61" s="71"/>
      <c r="AFK61" s="71"/>
      <c r="AFL61" s="71"/>
      <c r="AFM61" s="71"/>
      <c r="AFN61" s="71"/>
      <c r="AFO61" s="71"/>
      <c r="AFP61" s="71"/>
      <c r="AFQ61" s="71"/>
      <c r="AFR61" s="71"/>
      <c r="AFS61" s="71"/>
      <c r="AFT61" s="71"/>
      <c r="AFU61" s="71"/>
      <c r="AFV61" s="71"/>
      <c r="AFW61" s="71"/>
      <c r="AFX61" s="71"/>
      <c r="AFY61" s="71"/>
      <c r="AFZ61" s="71"/>
      <c r="AGA61" s="71"/>
      <c r="AGB61" s="71"/>
      <c r="AGC61" s="71"/>
      <c r="AGD61" s="71"/>
      <c r="AGE61" s="71"/>
      <c r="AGF61" s="71"/>
      <c r="AGG61" s="71"/>
      <c r="AGH61" s="71"/>
      <c r="AGI61" s="71"/>
      <c r="AGJ61" s="71"/>
      <c r="AGK61" s="71"/>
      <c r="AGL61" s="71"/>
      <c r="AGM61" s="71"/>
      <c r="AGN61" s="71"/>
      <c r="AGO61" s="71"/>
      <c r="AGP61" s="71"/>
      <c r="AGQ61" s="71"/>
      <c r="AGR61" s="71"/>
      <c r="AGS61" s="71"/>
      <c r="AGT61" s="71"/>
      <c r="AGU61" s="71"/>
      <c r="AGV61" s="71"/>
      <c r="AGW61" s="71"/>
      <c r="AGX61" s="71"/>
      <c r="AGY61" s="71"/>
      <c r="AGZ61" s="71"/>
      <c r="AHA61" s="71"/>
      <c r="AHB61" s="71"/>
      <c r="AHC61" s="71"/>
      <c r="AHD61" s="71"/>
      <c r="AHE61" s="71"/>
      <c r="AHF61" s="71"/>
      <c r="AHG61" s="71"/>
      <c r="AHH61" s="71"/>
      <c r="AHI61" s="71"/>
      <c r="AHJ61" s="71"/>
      <c r="AHK61" s="71"/>
      <c r="AHL61" s="71"/>
      <c r="AHM61" s="71"/>
      <c r="AHN61" s="71"/>
      <c r="AHO61" s="71"/>
      <c r="AHP61" s="71"/>
      <c r="AHQ61" s="71"/>
      <c r="AHR61" s="71"/>
      <c r="AHS61" s="71"/>
      <c r="AHT61" s="71"/>
      <c r="AHU61" s="71"/>
      <c r="AHV61" s="71"/>
      <c r="AHW61" s="71"/>
      <c r="AHX61" s="71"/>
      <c r="AHY61" s="71"/>
      <c r="AHZ61" s="71"/>
      <c r="AIA61" s="71"/>
      <c r="AIB61" s="71"/>
      <c r="AIC61" s="71"/>
      <c r="AID61" s="71"/>
      <c r="AIE61" s="71"/>
      <c r="AIF61" s="71"/>
      <c r="AIG61" s="71"/>
      <c r="AIH61" s="71"/>
      <c r="AII61" s="160" t="s">
        <v>65</v>
      </c>
      <c r="AIJ61" s="159" t="str">
        <f t="shared" si="10"/>
        <v>CBM</v>
      </c>
      <c r="AIK61" s="167">
        <f t="shared" si="10"/>
        <v>21000</v>
      </c>
      <c r="AIL61" s="158">
        <f t="shared" si="11"/>
        <v>8773.6718999999994</v>
      </c>
      <c r="AIM61" s="158">
        <f>IF(AIY61&gt;0,AIY61,"0")</f>
        <v>12226.328100000001</v>
      </c>
      <c r="AIN61" s="158">
        <f>IF(AIM61&lt;(AIK61*MASTER_DATA!D22),AIM61,(AIK61*MASTER_DATA!D22))</f>
        <v>630</v>
      </c>
      <c r="AIO61" s="158">
        <f>IF(AIX61&gt;0,AIX61,"0")</f>
        <v>11596.328100000001</v>
      </c>
      <c r="AIP61" s="168">
        <f>AIO61*MASTER_DATA!D14/30.5</f>
        <v>1237195.135652459</v>
      </c>
      <c r="AIQ61" s="169">
        <f>AIO61*MASTER_DATA!E14/30.5</f>
        <v>279832.70431475411</v>
      </c>
      <c r="AIR61" s="70" t="s">
        <v>164</v>
      </c>
      <c r="AIX61" s="147">
        <f>AIM61-AIN61</f>
        <v>11596.328100000001</v>
      </c>
      <c r="AIY61" s="147">
        <f t="shared" si="13"/>
        <v>12226.328100000001</v>
      </c>
      <c r="AJC61" s="152" t="s">
        <v>65</v>
      </c>
      <c r="AJD61" s="155">
        <v>3254</v>
      </c>
      <c r="AJE61" s="35">
        <v>736</v>
      </c>
      <c r="AJG61" s="115" t="s">
        <v>165</v>
      </c>
      <c r="AJH61" s="116" t="s">
        <v>166</v>
      </c>
      <c r="AJI61" t="s">
        <v>167</v>
      </c>
      <c r="AJJ61" s="117" t="s">
        <v>168</v>
      </c>
      <c r="AJK61" s="73" t="s">
        <v>169</v>
      </c>
      <c r="AJL61" s="29"/>
      <c r="AJN61" s="3" t="s">
        <v>170</v>
      </c>
    </row>
    <row r="62" spans="504:950" ht="30.75" hidden="1" thickBot="1" x14ac:dyDescent="0.3">
      <c r="SJ62" s="134"/>
      <c r="SV62" s="134"/>
      <c r="SW62" s="134"/>
      <c r="SX62" s="134"/>
      <c r="SY62" s="134"/>
      <c r="SZ62" s="134"/>
      <c r="TA62" s="134"/>
      <c r="TB62" s="134"/>
      <c r="TC62" s="134"/>
      <c r="TD62" s="134"/>
      <c r="TE62" s="134"/>
      <c r="TF62" s="134"/>
      <c r="TG62" s="134"/>
      <c r="TH62" s="134"/>
      <c r="TI62" s="134"/>
      <c r="TJ62" s="134"/>
      <c r="TK62" s="134"/>
      <c r="TL62" s="134"/>
      <c r="TM62" s="134"/>
      <c r="TN62" s="134"/>
      <c r="TO62" s="134"/>
      <c r="TP62" s="134"/>
      <c r="TQ62" s="134"/>
      <c r="TR62" s="134"/>
      <c r="TS62" s="134"/>
      <c r="TT62" s="134"/>
      <c r="TU62" s="134"/>
      <c r="TV62" s="134"/>
      <c r="TW62" s="134"/>
      <c r="TX62" s="134"/>
      <c r="TY62" s="134"/>
      <c r="TZ62" s="134"/>
      <c r="UA62" s="134"/>
      <c r="UB62" s="134"/>
      <c r="UC62" s="134"/>
      <c r="UD62" s="134"/>
      <c r="UE62" s="134"/>
      <c r="UF62" s="134"/>
      <c r="UG62" s="134"/>
      <c r="UH62" s="134"/>
      <c r="UI62" s="134"/>
      <c r="UJ62" s="134"/>
      <c r="UK62" s="134"/>
      <c r="UL62" s="134"/>
      <c r="UM62" s="134"/>
      <c r="UN62" s="134"/>
      <c r="UO62" s="134"/>
      <c r="UP62" s="134"/>
      <c r="UQ62" s="134"/>
      <c r="UR62" s="134"/>
      <c r="US62" s="134"/>
      <c r="UT62" s="134"/>
      <c r="UU62" s="134"/>
      <c r="UV62" s="134"/>
      <c r="UW62" s="134"/>
      <c r="UX62" s="134"/>
      <c r="UY62" s="134"/>
      <c r="UZ62" s="134"/>
      <c r="VA62" s="134"/>
      <c r="VB62" s="134"/>
      <c r="VC62" s="134"/>
      <c r="VD62" s="134"/>
      <c r="VE62" s="134"/>
      <c r="VF62" s="134"/>
      <c r="VG62" s="134"/>
      <c r="VH62" s="134"/>
      <c r="VI62" s="134"/>
      <c r="VJ62" s="134"/>
      <c r="VK62" s="134"/>
      <c r="VL62" s="134"/>
      <c r="VM62" s="134"/>
      <c r="VN62" s="134"/>
      <c r="VO62" s="134"/>
      <c r="VP62" s="134"/>
      <c r="VQ62" s="134"/>
      <c r="VR62" s="134"/>
      <c r="VS62" s="134"/>
      <c r="VT62" s="134"/>
      <c r="VU62" s="134"/>
      <c r="VV62" s="134"/>
      <c r="VW62" s="134"/>
      <c r="VX62" s="134"/>
      <c r="VY62" s="134"/>
      <c r="VZ62" s="134"/>
      <c r="WA62" s="134"/>
      <c r="WB62" s="134"/>
      <c r="WC62" s="134"/>
      <c r="WD62" s="134"/>
      <c r="WE62" s="134"/>
      <c r="WF62" s="134"/>
      <c r="WG62" s="134"/>
      <c r="WH62" s="134"/>
      <c r="WI62" s="134"/>
      <c r="WJ62" s="134">
        <f t="shared" si="9"/>
        <v>1700</v>
      </c>
      <c r="WK62" s="134"/>
      <c r="WL62" s="134"/>
      <c r="WM62" s="134"/>
      <c r="WN62" s="134"/>
      <c r="WO62" s="134"/>
      <c r="WP62" s="134"/>
      <c r="WQ62" s="134"/>
      <c r="WR62" s="134"/>
      <c r="WS62" s="134"/>
      <c r="WT62" s="134"/>
      <c r="WU62" s="134"/>
      <c r="WV62" s="134"/>
      <c r="WW62" s="134"/>
      <c r="WX62" s="134"/>
      <c r="WY62" s="134"/>
      <c r="WZ62" s="134"/>
      <c r="XA62" s="134"/>
      <c r="XB62" s="134"/>
      <c r="XC62" s="134"/>
      <c r="XD62" s="134"/>
      <c r="XE62" s="134"/>
      <c r="XF62" s="134"/>
      <c r="XG62" s="134"/>
      <c r="XH62" s="134"/>
      <c r="XI62" s="134"/>
      <c r="XJ62" s="134"/>
      <c r="XK62" s="134"/>
      <c r="XL62" s="134"/>
      <c r="XM62" s="134"/>
      <c r="XN62" s="134"/>
      <c r="XO62" s="134"/>
      <c r="XP62" s="134"/>
      <c r="XQ62" s="134"/>
      <c r="XR62" s="134"/>
      <c r="XS62" s="134"/>
      <c r="XT62" s="134"/>
      <c r="XU62" s="134"/>
      <c r="XV62" s="134"/>
      <c r="XW62" s="134"/>
      <c r="XX62" s="134"/>
      <c r="XY62" s="134"/>
      <c r="XZ62" s="134"/>
      <c r="YA62" s="134"/>
      <c r="YB62" s="134"/>
      <c r="YC62" s="134"/>
      <c r="YD62" s="134"/>
      <c r="YE62" s="134"/>
      <c r="YF62" s="134"/>
      <c r="YG62" s="134"/>
      <c r="YH62" s="134"/>
      <c r="YI62" s="134"/>
      <c r="YJ62" s="134"/>
      <c r="YK62" s="134"/>
      <c r="YL62" s="134"/>
      <c r="YM62" s="134"/>
      <c r="YN62" s="134"/>
      <c r="YO62" s="134"/>
      <c r="YP62" s="134"/>
      <c r="YQ62" s="134"/>
      <c r="YR62" s="134"/>
      <c r="YS62" s="134"/>
      <c r="YT62" s="134"/>
      <c r="YU62" s="134"/>
      <c r="YV62" s="134"/>
      <c r="YW62" s="134"/>
      <c r="YX62" s="134"/>
      <c r="YY62" s="134"/>
      <c r="YZ62" s="134"/>
      <c r="ZA62" s="134"/>
      <c r="ZB62" s="134"/>
      <c r="ZC62" s="134"/>
      <c r="ZD62" s="134"/>
      <c r="ZE62" s="134"/>
      <c r="ZF62" s="134"/>
      <c r="ZG62" s="134"/>
      <c r="ZH62" s="134"/>
      <c r="ZI62" s="134"/>
      <c r="ZJ62" s="134"/>
      <c r="ZK62" s="134"/>
      <c r="ZL62" s="134"/>
      <c r="ZM62" s="134"/>
      <c r="ZN62" s="134"/>
      <c r="ZO62" s="134"/>
      <c r="ZP62" s="134"/>
      <c r="ZQ62" s="134"/>
      <c r="ZR62" s="134"/>
      <c r="ZS62" s="134"/>
      <c r="ZT62" s="134"/>
      <c r="ZU62" s="134"/>
      <c r="ZV62" s="134"/>
      <c r="ZW62" s="134"/>
      <c r="ZX62" s="134"/>
      <c r="ZY62" s="134"/>
      <c r="ZZ62" s="134"/>
      <c r="AAA62" s="134"/>
      <c r="AAB62" s="134"/>
      <c r="AAC62" s="134"/>
      <c r="AAD62" s="134"/>
      <c r="AAE62" s="134"/>
      <c r="AAF62" s="134"/>
      <c r="AAG62" s="134"/>
      <c r="AAH62" s="134"/>
      <c r="AAI62" s="134"/>
      <c r="AAJ62" s="134"/>
      <c r="AAK62" s="134"/>
      <c r="AAL62" s="134"/>
      <c r="AAM62" s="134"/>
      <c r="AAN62" s="134"/>
      <c r="AAO62" s="134"/>
      <c r="AAP62" s="134"/>
      <c r="AAQ62" s="134"/>
      <c r="AAR62" s="134"/>
      <c r="AAS62" s="134"/>
      <c r="AAT62" s="134"/>
      <c r="AAU62" s="134"/>
      <c r="AAV62" s="134"/>
      <c r="AAW62" s="134"/>
      <c r="AAX62" s="134"/>
      <c r="AAY62" s="134"/>
      <c r="AAZ62" s="134"/>
      <c r="ABA62" s="134"/>
      <c r="ABB62" s="134"/>
      <c r="ABC62" s="134"/>
      <c r="ABD62" s="134"/>
      <c r="ABE62" s="134"/>
      <c r="ABF62" s="134"/>
      <c r="ABG62" s="134"/>
      <c r="ABH62" s="134"/>
      <c r="ABI62" s="134"/>
      <c r="ABJ62" s="134"/>
      <c r="ABK62" s="134"/>
      <c r="ABL62" s="134"/>
      <c r="ABM62" s="134"/>
      <c r="ABN62" s="134"/>
      <c r="ABO62" s="134"/>
      <c r="ABP62" s="134"/>
      <c r="ABQ62" s="134"/>
      <c r="ABR62" s="134"/>
      <c r="ABS62" s="134"/>
      <c r="ABT62" s="134"/>
      <c r="ABU62" s="134"/>
      <c r="ABV62" s="134"/>
      <c r="ABW62" s="134"/>
      <c r="ABX62" s="134"/>
      <c r="ABY62" s="134"/>
      <c r="ABZ62" s="134"/>
      <c r="ACA62" s="134"/>
      <c r="ACB62" s="134"/>
      <c r="ACC62" s="134"/>
      <c r="ACD62" s="134"/>
      <c r="ACE62" s="134"/>
      <c r="ACF62" s="134"/>
      <c r="ACG62" s="134"/>
      <c r="ACH62" s="134"/>
      <c r="ACI62" s="134"/>
      <c r="ACJ62" s="134"/>
      <c r="ACK62" s="134"/>
      <c r="ACL62" s="134"/>
      <c r="ACM62" s="134"/>
      <c r="ACN62" s="134"/>
      <c r="ACO62" s="134"/>
      <c r="ACP62" s="134"/>
      <c r="ACQ62" s="134"/>
      <c r="ACR62" s="134"/>
      <c r="ACS62" s="134"/>
      <c r="ACT62" s="134"/>
      <c r="ACU62" s="134"/>
      <c r="ACV62" s="134"/>
      <c r="ACW62" s="134"/>
      <c r="ACX62" s="134"/>
      <c r="ACY62" s="134"/>
      <c r="ACZ62" s="134"/>
      <c r="ADA62" s="134"/>
      <c r="ADB62" s="134"/>
      <c r="ADC62" s="134"/>
      <c r="ADD62" s="134"/>
      <c r="ADE62" s="134"/>
      <c r="ADF62" s="134"/>
      <c r="ADG62" s="134"/>
      <c r="ADH62" s="134"/>
      <c r="ADI62" s="134"/>
      <c r="ADJ62" s="134"/>
      <c r="ADK62" s="134"/>
      <c r="ADL62" s="134"/>
      <c r="ADM62" s="134"/>
      <c r="ADN62" s="134"/>
      <c r="ADO62" s="134"/>
      <c r="ADP62" s="134"/>
      <c r="ADQ62" s="134"/>
      <c r="ADR62" s="134"/>
      <c r="ADS62" s="134"/>
      <c r="ADT62" s="134"/>
      <c r="ADU62" s="134"/>
      <c r="ADV62" s="134"/>
      <c r="ADW62" s="134"/>
      <c r="ADX62" s="134"/>
      <c r="ADY62" s="134"/>
      <c r="ADZ62" s="134"/>
      <c r="AEA62" s="134"/>
      <c r="AEB62" s="134"/>
      <c r="AEC62" s="134"/>
      <c r="AED62" s="134"/>
      <c r="AEE62" s="134"/>
      <c r="AEH62" s="71"/>
      <c r="AEI62" s="71"/>
      <c r="AEJ62" s="71"/>
      <c r="AEK62" s="71"/>
      <c r="AEL62" s="71"/>
      <c r="AEM62" s="71"/>
      <c r="AEN62" s="71"/>
      <c r="AEO62" s="71"/>
      <c r="AEP62" s="71"/>
      <c r="AEQ62" s="71"/>
      <c r="AER62" s="71"/>
      <c r="AES62" s="71"/>
      <c r="AET62" s="71"/>
      <c r="AEU62" s="71"/>
      <c r="AEV62" s="71"/>
      <c r="AEW62" s="71"/>
      <c r="AEX62" s="71"/>
      <c r="AEY62" s="71"/>
      <c r="AEZ62" s="71"/>
      <c r="AFA62" s="71"/>
      <c r="AFB62" s="71"/>
      <c r="AFC62" s="71"/>
      <c r="AFD62" s="71"/>
      <c r="AFE62" s="71"/>
      <c r="AFF62" s="71"/>
      <c r="AFG62" s="71"/>
      <c r="AFH62" s="71"/>
      <c r="AFI62" s="71"/>
      <c r="AFJ62" s="71"/>
      <c r="AFK62" s="71"/>
      <c r="AFL62" s="71"/>
      <c r="AFM62" s="71"/>
      <c r="AFN62" s="71"/>
      <c r="AFO62" s="71"/>
      <c r="AFP62" s="71"/>
      <c r="AFQ62" s="71"/>
      <c r="AFR62" s="71"/>
      <c r="AFS62" s="71"/>
      <c r="AFT62" s="71"/>
      <c r="AFU62" s="71"/>
      <c r="AFV62" s="71"/>
      <c r="AFW62" s="71"/>
      <c r="AFX62" s="71"/>
      <c r="AFY62" s="71"/>
      <c r="AFZ62" s="71"/>
      <c r="AGA62" s="71"/>
      <c r="AGB62" s="71"/>
      <c r="AGC62" s="71"/>
      <c r="AGD62" s="71"/>
      <c r="AGE62" s="71"/>
      <c r="AGF62" s="71"/>
      <c r="AGG62" s="71"/>
      <c r="AGH62" s="71"/>
      <c r="AGI62" s="71"/>
      <c r="AGJ62" s="71"/>
      <c r="AGK62" s="71"/>
      <c r="AGL62" s="71"/>
      <c r="AGM62" s="71"/>
      <c r="AGN62" s="71"/>
      <c r="AGO62" s="71"/>
      <c r="AGP62" s="71"/>
      <c r="AGQ62" s="71"/>
      <c r="AGR62" s="71"/>
      <c r="AGS62" s="71"/>
      <c r="AGT62" s="71"/>
      <c r="AGU62" s="71"/>
      <c r="AGV62" s="71"/>
      <c r="AGW62" s="71"/>
      <c r="AGX62" s="71"/>
      <c r="AGY62" s="71"/>
      <c r="AGZ62" s="71"/>
      <c r="AHA62" s="71"/>
      <c r="AHB62" s="71"/>
      <c r="AHC62" s="71"/>
      <c r="AHD62" s="71"/>
      <c r="AHE62" s="71"/>
      <c r="AHF62" s="71"/>
      <c r="AHG62" s="71"/>
      <c r="AHH62" s="71"/>
      <c r="AHI62" s="71"/>
      <c r="AHJ62" s="71"/>
      <c r="AHK62" s="71"/>
      <c r="AHL62" s="71"/>
      <c r="AHM62" s="71"/>
      <c r="AHN62" s="71"/>
      <c r="AHO62" s="71"/>
      <c r="AHP62" s="71"/>
      <c r="AHQ62" s="71"/>
      <c r="AHR62" s="71"/>
      <c r="AHS62" s="71"/>
      <c r="AHT62" s="71"/>
      <c r="AHU62" s="71"/>
      <c r="AHV62" s="71"/>
      <c r="AHW62" s="71"/>
      <c r="AHX62" s="71"/>
      <c r="AHY62" s="71"/>
      <c r="AHZ62" s="71"/>
      <c r="AIA62" s="71"/>
      <c r="AIB62" s="71"/>
      <c r="AIC62" s="71"/>
      <c r="AID62" s="71"/>
      <c r="AIE62" s="71"/>
      <c r="AIF62" s="71"/>
      <c r="AIG62" s="71"/>
      <c r="AIH62" s="71"/>
      <c r="AII62" s="160" t="s">
        <v>66</v>
      </c>
      <c r="AIJ62" s="159" t="str">
        <f t="shared" si="10"/>
        <v>CBM</v>
      </c>
      <c r="AIK62" s="167">
        <f t="shared" si="10"/>
        <v>1700</v>
      </c>
      <c r="AIL62" s="158">
        <f t="shared" si="11"/>
        <v>0</v>
      </c>
      <c r="AIM62" s="158">
        <f t="shared" si="12"/>
        <v>1700</v>
      </c>
      <c r="AIN62" s="158">
        <f>IF(AIM62&lt;(AIK62*$AIN$55),AIM62,(AIK62*$AIN$55))</f>
        <v>51</v>
      </c>
      <c r="AIO62" s="158">
        <f t="shared" si="14"/>
        <v>1649</v>
      </c>
      <c r="AIP62" s="168">
        <f t="shared" ref="AIP62" si="16">AIO62*AJD62/30.5</f>
        <v>0</v>
      </c>
      <c r="AIQ62" s="169">
        <f t="shared" ref="AIQ62" si="17">AIO62*AJE62/30.5</f>
        <v>0</v>
      </c>
      <c r="AIR62" s="70"/>
      <c r="AIX62" s="147">
        <f t="shared" si="15"/>
        <v>1649</v>
      </c>
      <c r="AIY62" s="147">
        <f t="shared" si="13"/>
        <v>1700</v>
      </c>
      <c r="AJC62" s="240"/>
      <c r="AJD62" s="241"/>
      <c r="AJE62" s="242"/>
      <c r="AJG62" s="115"/>
      <c r="AJH62" s="116"/>
      <c r="AJJ62" s="117"/>
      <c r="AJK62" s="73"/>
      <c r="AJL62" s="29"/>
      <c r="AJN62" s="3"/>
    </row>
    <row r="63" spans="504:950" ht="30.75" thickBot="1" x14ac:dyDescent="0.3">
      <c r="SJ63" s="134"/>
      <c r="SV63" s="134"/>
      <c r="SW63" s="134"/>
      <c r="SX63" s="134"/>
      <c r="SY63" s="134"/>
      <c r="SZ63" s="134"/>
      <c r="TA63" s="134"/>
      <c r="TB63" s="134"/>
      <c r="TC63" s="134"/>
      <c r="TD63" s="134"/>
      <c r="TE63" s="134"/>
      <c r="TF63" s="134"/>
      <c r="TG63" s="134"/>
      <c r="TH63" s="134"/>
      <c r="TI63" s="134"/>
      <c r="TJ63" s="134"/>
      <c r="TK63" s="134"/>
      <c r="TL63" s="134"/>
      <c r="TM63" s="134"/>
      <c r="TN63" s="134"/>
      <c r="TO63" s="134"/>
      <c r="TP63" s="134"/>
      <c r="TQ63" s="134"/>
      <c r="TR63" s="134"/>
      <c r="TS63" s="134"/>
      <c r="TT63" s="134"/>
      <c r="TU63" s="134"/>
      <c r="TV63" s="134"/>
      <c r="TW63" s="134"/>
      <c r="TX63" s="134"/>
      <c r="TY63" s="134"/>
      <c r="TZ63" s="134"/>
      <c r="UA63" s="134"/>
      <c r="UB63" s="134"/>
      <c r="UC63" s="134"/>
      <c r="UD63" s="134"/>
      <c r="UE63" s="134"/>
      <c r="UF63" s="134"/>
      <c r="UG63" s="134"/>
      <c r="UH63" s="134"/>
      <c r="UI63" s="134"/>
      <c r="UJ63" s="134"/>
      <c r="UK63" s="134"/>
      <c r="UL63" s="134"/>
      <c r="UM63" s="134"/>
      <c r="UN63" s="134"/>
      <c r="UO63" s="134"/>
      <c r="UP63" s="134"/>
      <c r="UQ63" s="134"/>
      <c r="UR63" s="134"/>
      <c r="US63" s="134"/>
      <c r="UT63" s="134"/>
      <c r="UU63" s="134"/>
      <c r="UV63" s="134"/>
      <c r="UW63" s="134"/>
      <c r="UX63" s="134"/>
      <c r="UY63" s="134"/>
      <c r="UZ63" s="134"/>
      <c r="VA63" s="134"/>
      <c r="VB63" s="134"/>
      <c r="VC63" s="134"/>
      <c r="VD63" s="134"/>
      <c r="VE63" s="134"/>
      <c r="VF63" s="134"/>
      <c r="VG63" s="134"/>
      <c r="VH63" s="134"/>
      <c r="VI63" s="134"/>
      <c r="VJ63" s="134"/>
      <c r="VK63" s="134"/>
      <c r="VL63" s="134"/>
      <c r="VM63" s="134"/>
      <c r="VN63" s="134"/>
      <c r="VO63" s="134"/>
      <c r="VP63" s="134"/>
      <c r="VQ63" s="134"/>
      <c r="VR63" s="134"/>
      <c r="VS63" s="134"/>
      <c r="VT63" s="134"/>
      <c r="VU63" s="134"/>
      <c r="VV63" s="134"/>
      <c r="VW63" s="134"/>
      <c r="VX63" s="134"/>
      <c r="VY63" s="134"/>
      <c r="VZ63" s="134"/>
      <c r="WA63" s="134"/>
      <c r="WB63" s="134"/>
      <c r="WC63" s="134"/>
      <c r="WD63" s="134"/>
      <c r="WE63" s="134"/>
      <c r="WF63" s="134"/>
      <c r="WG63" s="134"/>
      <c r="WH63" s="134"/>
      <c r="WI63" s="134"/>
      <c r="WJ63" s="134">
        <f t="shared" si="9"/>
        <v>1185.1590000000001</v>
      </c>
      <c r="WK63" s="134"/>
      <c r="WL63" s="134"/>
      <c r="WM63" s="134"/>
      <c r="WN63" s="134"/>
      <c r="WO63" s="134"/>
      <c r="WP63" s="134"/>
      <c r="WQ63" s="134"/>
      <c r="WR63" s="134"/>
      <c r="WS63" s="134"/>
      <c r="WT63" s="134"/>
      <c r="WU63" s="134"/>
      <c r="WV63" s="134"/>
      <c r="WW63" s="134"/>
      <c r="WX63" s="134"/>
      <c r="WY63" s="134"/>
      <c r="WZ63" s="134"/>
      <c r="XA63" s="134"/>
      <c r="XB63" s="134"/>
      <c r="XC63" s="134"/>
      <c r="XD63" s="134"/>
      <c r="XE63" s="134"/>
      <c r="XF63" s="134"/>
      <c r="XG63" s="134"/>
      <c r="XH63" s="134"/>
      <c r="XI63" s="134"/>
      <c r="XJ63" s="134"/>
      <c r="XK63" s="134"/>
      <c r="XL63" s="134"/>
      <c r="XM63" s="134"/>
      <c r="XN63" s="134"/>
      <c r="XO63" s="134"/>
      <c r="XP63" s="134"/>
      <c r="XQ63" s="134"/>
      <c r="XR63" s="134"/>
      <c r="XS63" s="134"/>
      <c r="XT63" s="134"/>
      <c r="XU63" s="134"/>
      <c r="XV63" s="134"/>
      <c r="XW63" s="134"/>
      <c r="XX63" s="134"/>
      <c r="XY63" s="134"/>
      <c r="XZ63" s="134"/>
      <c r="YA63" s="134"/>
      <c r="YB63" s="134"/>
      <c r="YC63" s="134"/>
      <c r="YD63" s="134"/>
      <c r="YE63" s="134"/>
      <c r="YF63" s="134"/>
      <c r="YG63" s="134"/>
      <c r="YH63" s="134"/>
      <c r="YI63" s="134"/>
      <c r="YJ63" s="134"/>
      <c r="YK63" s="134"/>
      <c r="YL63" s="134"/>
      <c r="YM63" s="134"/>
      <c r="YN63" s="134"/>
      <c r="YO63" s="134"/>
      <c r="YP63" s="134"/>
      <c r="YQ63" s="134"/>
      <c r="YR63" s="134"/>
      <c r="YS63" s="134"/>
      <c r="YT63" s="134"/>
      <c r="YU63" s="134"/>
      <c r="YV63" s="134"/>
      <c r="YW63" s="134"/>
      <c r="YX63" s="134"/>
      <c r="YY63" s="134"/>
      <c r="YZ63" s="134"/>
      <c r="ZA63" s="134"/>
      <c r="ZB63" s="134"/>
      <c r="ZC63" s="134"/>
      <c r="ZD63" s="134"/>
      <c r="ZE63" s="134"/>
      <c r="ZF63" s="134"/>
      <c r="ZG63" s="134"/>
      <c r="ZH63" s="134"/>
      <c r="ZI63" s="134"/>
      <c r="ZJ63" s="134"/>
      <c r="ZK63" s="134"/>
      <c r="ZL63" s="134"/>
      <c r="ZM63" s="134"/>
      <c r="ZN63" s="134"/>
      <c r="ZO63" s="134"/>
      <c r="ZP63" s="134"/>
      <c r="ZQ63" s="134"/>
      <c r="ZR63" s="134"/>
      <c r="ZS63" s="134"/>
      <c r="ZT63" s="134"/>
      <c r="ZU63" s="134"/>
      <c r="ZV63" s="134"/>
      <c r="ZW63" s="134"/>
      <c r="ZX63" s="134"/>
      <c r="ZY63" s="134"/>
      <c r="ZZ63" s="134"/>
      <c r="AAA63" s="134"/>
      <c r="AAB63" s="134"/>
      <c r="AAC63" s="134"/>
      <c r="AAD63" s="134"/>
      <c r="AAE63" s="134"/>
      <c r="AAF63" s="134"/>
      <c r="AAG63" s="134"/>
      <c r="AAH63" s="134"/>
      <c r="AAI63" s="134"/>
      <c r="AAJ63" s="134"/>
      <c r="AAK63" s="134"/>
      <c r="AAL63" s="134"/>
      <c r="AAM63" s="134"/>
      <c r="AAN63" s="134"/>
      <c r="AAO63" s="134"/>
      <c r="AAP63" s="134"/>
      <c r="AAQ63" s="134"/>
      <c r="AAR63" s="134"/>
      <c r="AAS63" s="134"/>
      <c r="AAT63" s="134"/>
      <c r="AAU63" s="134"/>
      <c r="AAV63" s="134"/>
      <c r="AAW63" s="134"/>
      <c r="AAX63" s="134"/>
      <c r="AAY63" s="134"/>
      <c r="AAZ63" s="134"/>
      <c r="ABA63" s="134"/>
      <c r="ABB63" s="134"/>
      <c r="ABC63" s="134"/>
      <c r="ABD63" s="134"/>
      <c r="ABE63" s="134"/>
      <c r="ABF63" s="134"/>
      <c r="ABG63" s="134"/>
      <c r="ABH63" s="134"/>
      <c r="ABI63" s="134"/>
      <c r="ABJ63" s="134"/>
      <c r="ABK63" s="134"/>
      <c r="ABL63" s="134"/>
      <c r="ABM63" s="134"/>
      <c r="ABN63" s="134"/>
      <c r="ABO63" s="134"/>
      <c r="ABP63" s="134"/>
      <c r="ABQ63" s="134"/>
      <c r="ABR63" s="134"/>
      <c r="ABS63" s="134"/>
      <c r="ABT63" s="134"/>
      <c r="ABU63" s="134"/>
      <c r="ABV63" s="134"/>
      <c r="ABW63" s="134"/>
      <c r="ABX63" s="134"/>
      <c r="ABY63" s="134"/>
      <c r="ABZ63" s="134"/>
      <c r="ACA63" s="134"/>
      <c r="ACB63" s="134"/>
      <c r="ACC63" s="134"/>
      <c r="ACD63" s="134"/>
      <c r="ACE63" s="134"/>
      <c r="ACF63" s="134"/>
      <c r="ACG63" s="134"/>
      <c r="ACH63" s="134"/>
      <c r="ACI63" s="134"/>
      <c r="ACJ63" s="134"/>
      <c r="ACK63" s="134"/>
      <c r="ACL63" s="134"/>
      <c r="ACM63" s="134"/>
      <c r="ACN63" s="134"/>
      <c r="ACO63" s="134"/>
      <c r="ACP63" s="134"/>
      <c r="ACQ63" s="134"/>
      <c r="ACR63" s="134"/>
      <c r="ACS63" s="134"/>
      <c r="ACT63" s="134"/>
      <c r="ACU63" s="134"/>
      <c r="ACV63" s="134"/>
      <c r="ACW63" s="134"/>
      <c r="ACX63" s="134"/>
      <c r="ACY63" s="134"/>
      <c r="ACZ63" s="134"/>
      <c r="ADA63" s="134"/>
      <c r="ADB63" s="134"/>
      <c r="ADC63" s="134"/>
      <c r="ADD63" s="134"/>
      <c r="ADE63" s="134"/>
      <c r="ADF63" s="134"/>
      <c r="ADG63" s="134"/>
      <c r="ADH63" s="134"/>
      <c r="ADI63" s="134"/>
      <c r="ADJ63" s="134"/>
      <c r="ADK63" s="134"/>
      <c r="ADL63" s="134"/>
      <c r="ADM63" s="134"/>
      <c r="ADN63" s="134"/>
      <c r="ADO63" s="134"/>
      <c r="ADP63" s="134"/>
      <c r="ADQ63" s="134"/>
      <c r="ADR63" s="134"/>
      <c r="ADS63" s="134"/>
      <c r="ADT63" s="134"/>
      <c r="ADU63" s="134"/>
      <c r="ADV63" s="134"/>
      <c r="ADW63" s="134"/>
      <c r="ADX63" s="134"/>
      <c r="ADY63" s="134"/>
      <c r="ADZ63" s="134"/>
      <c r="AEA63" s="134"/>
      <c r="AEB63" s="134"/>
      <c r="AEC63" s="134"/>
      <c r="AED63" s="134"/>
      <c r="AEE63" s="134"/>
      <c r="AEH63" s="71"/>
      <c r="AEI63" s="71"/>
      <c r="AEJ63" s="71"/>
      <c r="AEK63" s="71"/>
      <c r="AEL63" s="71"/>
      <c r="AEM63" s="71"/>
      <c r="AEN63" s="71"/>
      <c r="AEO63" s="71"/>
      <c r="AEP63" s="71"/>
      <c r="AEQ63" s="71"/>
      <c r="AER63" s="71"/>
      <c r="AES63" s="71"/>
      <c r="AET63" s="71"/>
      <c r="AEU63" s="71"/>
      <c r="AEV63" s="71"/>
      <c r="AEW63" s="71"/>
      <c r="AEX63" s="71"/>
      <c r="AEY63" s="71"/>
      <c r="AEZ63" s="71"/>
      <c r="AFA63" s="71"/>
      <c r="AFB63" s="71"/>
      <c r="AFC63" s="71"/>
      <c r="AFD63" s="71"/>
      <c r="AFE63" s="71"/>
      <c r="AFF63" s="71"/>
      <c r="AFG63" s="71"/>
      <c r="AFH63" s="71"/>
      <c r="AFI63" s="71"/>
      <c r="AFJ63" s="71"/>
      <c r="AFK63" s="71"/>
      <c r="AFL63" s="71"/>
      <c r="AFM63" s="71"/>
      <c r="AFN63" s="71"/>
      <c r="AFO63" s="71"/>
      <c r="AFP63" s="71"/>
      <c r="AFQ63" s="71"/>
      <c r="AFR63" s="71"/>
      <c r="AFS63" s="71"/>
      <c r="AFT63" s="71"/>
      <c r="AFU63" s="71"/>
      <c r="AFV63" s="71"/>
      <c r="AFW63" s="71"/>
      <c r="AFX63" s="71"/>
      <c r="AFY63" s="71"/>
      <c r="AFZ63" s="71"/>
      <c r="AGA63" s="71"/>
      <c r="AGB63" s="71"/>
      <c r="AGC63" s="71"/>
      <c r="AGD63" s="71"/>
      <c r="AGE63" s="71"/>
      <c r="AGF63" s="71"/>
      <c r="AGG63" s="71"/>
      <c r="AGH63" s="71"/>
      <c r="AGI63" s="71"/>
      <c r="AGJ63" s="71"/>
      <c r="AGK63" s="71"/>
      <c r="AGL63" s="71"/>
      <c r="AGM63" s="71"/>
      <c r="AGN63" s="71"/>
      <c r="AGO63" s="71"/>
      <c r="AGP63" s="71"/>
      <c r="AGQ63" s="71"/>
      <c r="AGR63" s="71"/>
      <c r="AGS63" s="71"/>
      <c r="AGT63" s="71"/>
      <c r="AGU63" s="71"/>
      <c r="AGV63" s="71"/>
      <c r="AGW63" s="71"/>
      <c r="AGX63" s="71"/>
      <c r="AGY63" s="71"/>
      <c r="AGZ63" s="71"/>
      <c r="AHA63" s="71"/>
      <c r="AHB63" s="71"/>
      <c r="AHC63" s="71"/>
      <c r="AHD63" s="71"/>
      <c r="AHE63" s="71"/>
      <c r="AHF63" s="71"/>
      <c r="AHG63" s="71"/>
      <c r="AHH63" s="71"/>
      <c r="AHI63" s="71"/>
      <c r="AHJ63" s="71"/>
      <c r="AHK63" s="71"/>
      <c r="AHL63" s="71"/>
      <c r="AHM63" s="71"/>
      <c r="AHN63" s="71"/>
      <c r="AHO63" s="71"/>
      <c r="AHP63" s="71"/>
      <c r="AHQ63" s="71"/>
      <c r="AHR63" s="71"/>
      <c r="AHS63" s="71"/>
      <c r="AHT63" s="71"/>
      <c r="AHU63" s="71"/>
      <c r="AHV63" s="71"/>
      <c r="AHW63" s="71"/>
      <c r="AHX63" s="71"/>
      <c r="AHY63" s="71"/>
      <c r="AHZ63" s="71"/>
      <c r="AIA63" s="71"/>
      <c r="AIB63" s="71"/>
      <c r="AIC63" s="71"/>
      <c r="AID63" s="71"/>
      <c r="AIE63" s="71"/>
      <c r="AIF63" s="71"/>
      <c r="AIG63" s="71"/>
      <c r="AIH63" s="71"/>
      <c r="AII63" s="160" t="s">
        <v>67</v>
      </c>
      <c r="AIJ63" s="159" t="str">
        <f t="shared" si="10"/>
        <v>CBM</v>
      </c>
      <c r="AIK63" s="167">
        <f t="shared" si="10"/>
        <v>4300</v>
      </c>
      <c r="AIL63" s="158">
        <f t="shared" si="11"/>
        <v>3114.8409999999999</v>
      </c>
      <c r="AIM63" s="158">
        <f t="shared" si="12"/>
        <v>1185.1590000000001</v>
      </c>
      <c r="AIN63" s="158">
        <f>IF(AIM63&lt;(AIK63*MASTER_DATA!D27),AIM63,(AIK63*MASTER_DATA!D27))</f>
        <v>129</v>
      </c>
      <c r="AIO63" s="158">
        <f t="shared" si="14"/>
        <v>1056.1590000000001</v>
      </c>
      <c r="AIP63" s="168">
        <f>AIO63*MASTER_DATA!D19/30.5</f>
        <v>0</v>
      </c>
      <c r="AIQ63" s="169">
        <f>AIO63*MASTER_DATA!E19/30.5</f>
        <v>0</v>
      </c>
      <c r="AIR63" s="70"/>
      <c r="AIX63" s="147">
        <f t="shared" si="15"/>
        <v>1056.1590000000001</v>
      </c>
      <c r="AIY63" s="147">
        <f t="shared" si="13"/>
        <v>1185.1590000000001</v>
      </c>
      <c r="AJC63" s="240"/>
      <c r="AJD63" s="241"/>
      <c r="AJE63" s="242"/>
      <c r="AJG63" s="115"/>
      <c r="AJH63" s="116"/>
      <c r="AJJ63" s="117"/>
      <c r="AJK63" s="73"/>
      <c r="AJL63" s="29"/>
      <c r="AJN63" s="3"/>
    </row>
    <row r="64" spans="504:950" ht="15.75" thickBot="1" x14ac:dyDescent="0.3">
      <c r="SJ64" s="134">
        <f>18000*7%</f>
        <v>1260.0000000000002</v>
      </c>
      <c r="SV64" s="134"/>
      <c r="SW64" s="134"/>
      <c r="SX64" s="134"/>
      <c r="SY64" s="134"/>
      <c r="SZ64" s="134"/>
      <c r="TA64" s="134"/>
      <c r="TB64" s="134"/>
      <c r="TC64" s="134"/>
      <c r="TD64" s="134"/>
      <c r="TE64" s="134"/>
      <c r="TF64" s="134"/>
      <c r="TG64" s="134"/>
      <c r="TH64" s="134"/>
      <c r="TI64" s="134"/>
      <c r="TJ64" s="134"/>
      <c r="TK64" s="134"/>
      <c r="TL64" s="134"/>
      <c r="TM64" s="134"/>
      <c r="TN64" s="134"/>
      <c r="TO64" s="134"/>
      <c r="TP64" s="134"/>
      <c r="TQ64" s="134"/>
      <c r="TR64" s="134"/>
      <c r="TS64" s="134"/>
      <c r="TT64" s="134"/>
      <c r="TU64" s="134"/>
      <c r="TV64" s="134"/>
      <c r="TW64" s="134"/>
      <c r="TX64" s="134"/>
      <c r="TY64" s="134"/>
      <c r="TZ64" s="134"/>
      <c r="UA64" s="134"/>
      <c r="UB64" s="134"/>
      <c r="UC64" s="134"/>
      <c r="UD64" s="134"/>
      <c r="UE64" s="134"/>
      <c r="UF64" s="134"/>
      <c r="UG64" s="134"/>
      <c r="UH64" s="134"/>
      <c r="UI64" s="134"/>
      <c r="UJ64" s="134"/>
      <c r="UK64" s="134"/>
      <c r="UL64" s="134"/>
      <c r="UM64" s="134"/>
      <c r="UN64" s="134"/>
      <c r="UO64" s="134"/>
      <c r="UP64" s="134"/>
      <c r="UQ64" s="134"/>
      <c r="UR64" s="134"/>
      <c r="US64" s="134"/>
      <c r="UT64" s="134"/>
      <c r="UU64" s="134"/>
      <c r="UV64" s="134"/>
      <c r="UW64" s="134"/>
      <c r="UX64" s="134"/>
      <c r="UY64" s="134"/>
      <c r="UZ64" s="134"/>
      <c r="VA64" s="134"/>
      <c r="VB64" s="134"/>
      <c r="VC64" s="134"/>
      <c r="VD64" s="134"/>
      <c r="VE64" s="134"/>
      <c r="VF64" s="134"/>
      <c r="VG64" s="134"/>
      <c r="VH64" s="134"/>
      <c r="VI64" s="134"/>
      <c r="VJ64" s="134"/>
      <c r="VK64" s="134"/>
      <c r="VL64" s="134"/>
      <c r="VM64" s="134"/>
      <c r="VN64" s="134"/>
      <c r="VO64" s="134"/>
      <c r="VP64" s="134"/>
      <c r="VQ64" s="134"/>
      <c r="VR64" s="134"/>
      <c r="VS64" s="134"/>
      <c r="VT64" s="134"/>
      <c r="VU64" s="134"/>
      <c r="VV64" s="134"/>
      <c r="VW64" s="134"/>
      <c r="VX64" s="134"/>
      <c r="VY64" s="134"/>
      <c r="VZ64" s="134"/>
      <c r="WA64" s="134"/>
      <c r="WB64" s="134"/>
      <c r="WC64" s="134"/>
      <c r="WD64" s="134"/>
      <c r="WE64" s="134"/>
      <c r="WF64" s="134"/>
      <c r="WG64" s="134"/>
      <c r="WH64" s="134"/>
      <c r="WI64" s="134"/>
      <c r="WJ64" s="134">
        <f t="shared" si="9"/>
        <v>-176.03949999999986</v>
      </c>
      <c r="WK64" s="134"/>
      <c r="WL64" s="134"/>
      <c r="WM64" s="134"/>
      <c r="WN64" s="134"/>
      <c r="WO64" s="134"/>
      <c r="WP64" s="134"/>
      <c r="WQ64" s="134"/>
      <c r="WR64" s="134"/>
      <c r="WS64" s="134"/>
      <c r="WT64" s="134"/>
      <c r="WU64" s="134"/>
      <c r="WV64" s="134"/>
      <c r="WW64" s="134"/>
      <c r="WX64" s="134"/>
      <c r="WY64" s="134"/>
      <c r="WZ64" s="134"/>
      <c r="XA64" s="134"/>
      <c r="XB64" s="134"/>
      <c r="XC64" s="134"/>
      <c r="XD64" s="134"/>
      <c r="XE64" s="134"/>
      <c r="XF64" s="134"/>
      <c r="XG64" s="134"/>
      <c r="XH64" s="134"/>
      <c r="XI64" s="134"/>
      <c r="XJ64" s="134"/>
      <c r="XK64" s="134"/>
      <c r="XL64" s="134"/>
      <c r="XM64" s="134"/>
      <c r="XN64" s="134"/>
      <c r="XO64" s="134"/>
      <c r="XP64" s="134"/>
      <c r="XQ64" s="134"/>
      <c r="XR64" s="134"/>
      <c r="XS64" s="134"/>
      <c r="XT64" s="134"/>
      <c r="XU64" s="134"/>
      <c r="XV64" s="134"/>
      <c r="XW64" s="134"/>
      <c r="XX64" s="134"/>
      <c r="XY64" s="134"/>
      <c r="XZ64" s="134"/>
      <c r="YA64" s="134"/>
      <c r="YB64" s="134"/>
      <c r="YC64" s="134"/>
      <c r="YD64" s="134"/>
      <c r="YE64" s="134"/>
      <c r="YF64" s="134"/>
      <c r="YG64" s="134"/>
      <c r="YH64" s="134"/>
      <c r="YI64" s="134"/>
      <c r="YJ64" s="134"/>
      <c r="YK64" s="134"/>
      <c r="YL64" s="134"/>
      <c r="YM64" s="134"/>
      <c r="YN64" s="134"/>
      <c r="YO64" s="134"/>
      <c r="YP64" s="134"/>
      <c r="YQ64" s="134"/>
      <c r="YR64" s="134"/>
      <c r="YS64" s="134"/>
      <c r="YT64" s="134"/>
      <c r="YU64" s="134"/>
      <c r="YV64" s="134"/>
      <c r="YW64" s="134"/>
      <c r="YX64" s="134"/>
      <c r="YY64" s="134"/>
      <c r="YZ64" s="134"/>
      <c r="ZA64" s="134"/>
      <c r="ZB64" s="134"/>
      <c r="ZC64" s="134"/>
      <c r="ZD64" s="134"/>
      <c r="ZE64" s="134"/>
      <c r="ZF64" s="134"/>
      <c r="ZG64" s="134"/>
      <c r="ZH64" s="134"/>
      <c r="ZI64" s="134"/>
      <c r="ZJ64" s="134"/>
      <c r="ZK64" s="134"/>
      <c r="ZL64" s="134"/>
      <c r="ZM64" s="134"/>
      <c r="ZN64" s="134"/>
      <c r="ZO64" s="134"/>
      <c r="ZP64" s="134"/>
      <c r="ZQ64" s="134"/>
      <c r="ZR64" s="134"/>
      <c r="ZS64" s="134"/>
      <c r="ZT64" s="134"/>
      <c r="ZU64" s="134"/>
      <c r="ZV64" s="134"/>
      <c r="ZW64" s="134"/>
      <c r="ZX64" s="134"/>
      <c r="ZY64" s="134"/>
      <c r="ZZ64" s="134"/>
      <c r="AAA64" s="134"/>
      <c r="AAB64" s="134"/>
      <c r="AAC64" s="134"/>
      <c r="AAD64" s="134"/>
      <c r="AAE64" s="134"/>
      <c r="AAF64" s="134"/>
      <c r="AAG64" s="134"/>
      <c r="AAH64" s="134"/>
      <c r="AAI64" s="134"/>
      <c r="AAJ64" s="134"/>
      <c r="AAK64" s="134"/>
      <c r="AAL64" s="134"/>
      <c r="AAM64" s="134"/>
      <c r="AAN64" s="134"/>
      <c r="AAO64" s="134"/>
      <c r="AAP64" s="134"/>
      <c r="AAQ64" s="134"/>
      <c r="AAR64" s="134"/>
      <c r="AAS64" s="134"/>
      <c r="AAT64" s="134"/>
      <c r="AAU64" s="134"/>
      <c r="AAV64" s="134"/>
      <c r="AAW64" s="134"/>
      <c r="AAX64" s="134"/>
      <c r="AAY64" s="134"/>
      <c r="AAZ64" s="134"/>
      <c r="ABA64" s="134"/>
      <c r="ABB64" s="134"/>
      <c r="ABC64" s="134"/>
      <c r="ABD64" s="134"/>
      <c r="ABE64" s="134"/>
      <c r="ABF64" s="134"/>
      <c r="ABG64" s="134"/>
      <c r="ABH64" s="134"/>
      <c r="ABI64" s="134"/>
      <c r="ABJ64" s="134"/>
      <c r="ABK64" s="134"/>
      <c r="ABL64" s="134"/>
      <c r="ABM64" s="134"/>
      <c r="ABN64" s="134"/>
      <c r="ABO64" s="134"/>
      <c r="ABP64" s="134"/>
      <c r="ABQ64" s="134"/>
      <c r="ABR64" s="134"/>
      <c r="ABS64" s="134"/>
      <c r="ABT64" s="134"/>
      <c r="ABU64" s="134"/>
      <c r="ABV64" s="134"/>
      <c r="ABW64" s="134"/>
      <c r="ABX64" s="134"/>
      <c r="ABY64" s="134"/>
      <c r="ABZ64" s="134"/>
      <c r="ACA64" s="134"/>
      <c r="ACB64" s="134"/>
      <c r="ACC64" s="134"/>
      <c r="ACD64" s="134"/>
      <c r="ACE64" s="134"/>
      <c r="ACF64" s="134"/>
      <c r="ACG64" s="134"/>
      <c r="ACH64" s="134"/>
      <c r="ACI64" s="134"/>
      <c r="ACJ64" s="134"/>
      <c r="ACK64" s="134"/>
      <c r="ACL64" s="134"/>
      <c r="ACM64" s="134"/>
      <c r="ACN64" s="134"/>
      <c r="ACO64" s="134"/>
      <c r="ACP64" s="134"/>
      <c r="ACQ64" s="134"/>
      <c r="ACR64" s="134"/>
      <c r="ACS64" s="134"/>
      <c r="ACT64" s="134"/>
      <c r="ACU64" s="134"/>
      <c r="ACV64" s="134"/>
      <c r="ACW64" s="134"/>
      <c r="ACX64" s="134"/>
      <c r="ACY64" s="134"/>
      <c r="ACZ64" s="134"/>
      <c r="ADA64" s="134"/>
      <c r="ADB64" s="134"/>
      <c r="ADC64" s="134"/>
      <c r="ADD64" s="134"/>
      <c r="ADE64" s="134"/>
      <c r="ADF64" s="134"/>
      <c r="ADG64" s="134"/>
      <c r="ADH64" s="134"/>
      <c r="ADI64" s="134"/>
      <c r="ADJ64" s="134"/>
      <c r="ADK64" s="134"/>
      <c r="ADL64" s="134"/>
      <c r="ADM64" s="134"/>
      <c r="ADN64" s="134"/>
      <c r="ADO64" s="134"/>
      <c r="ADP64" s="134"/>
      <c r="ADQ64" s="134"/>
      <c r="ADR64" s="134"/>
      <c r="ADS64" s="134"/>
      <c r="ADT64" s="134"/>
      <c r="ADU64" s="134"/>
      <c r="ADV64" s="134"/>
      <c r="ADW64" s="134"/>
      <c r="ADX64" s="134"/>
      <c r="ADY64" s="134"/>
      <c r="ADZ64" s="134"/>
      <c r="AEA64" s="134"/>
      <c r="AEB64" s="134"/>
      <c r="AEC64" s="134"/>
      <c r="AED64" s="134"/>
      <c r="AEE64" s="134"/>
      <c r="AEH64" s="71"/>
      <c r="AEI64" s="71"/>
      <c r="AEJ64" s="71"/>
      <c r="AEK64" s="71"/>
      <c r="AEL64" s="71"/>
      <c r="AEM64" s="71"/>
      <c r="AEN64" s="71"/>
      <c r="AEO64" s="71"/>
      <c r="AEP64" s="71"/>
      <c r="AEQ64" s="71"/>
      <c r="AER64" s="71"/>
      <c r="AES64" s="71"/>
      <c r="AET64" s="71"/>
      <c r="AEU64" s="71"/>
      <c r="AEV64" s="71"/>
      <c r="AEW64" s="71"/>
      <c r="AEX64" s="71"/>
      <c r="AEY64" s="71"/>
      <c r="AEZ64" s="71"/>
      <c r="AFA64" s="71"/>
      <c r="AFB64" s="71"/>
      <c r="AFC64" s="71"/>
      <c r="AFD64" s="71"/>
      <c r="AFE64" s="71"/>
      <c r="AFF64" s="71"/>
      <c r="AFG64" s="71"/>
      <c r="AFH64" s="71"/>
      <c r="AFI64" s="71"/>
      <c r="AFJ64" s="71"/>
      <c r="AFK64" s="71"/>
      <c r="AFL64" s="71"/>
      <c r="AFM64" s="71"/>
      <c r="AFN64" s="71"/>
      <c r="AFO64" s="71"/>
      <c r="AFP64" s="71"/>
      <c r="AFQ64" s="71"/>
      <c r="AFR64" s="71"/>
      <c r="AFS64" s="71"/>
      <c r="AFT64" s="71"/>
      <c r="AFU64" s="71"/>
      <c r="AFV64" s="71"/>
      <c r="AFW64" s="71"/>
      <c r="AFX64" s="71"/>
      <c r="AFY64" s="71"/>
      <c r="AFZ64" s="71"/>
      <c r="AGA64" s="71"/>
      <c r="AGB64" s="71"/>
      <c r="AGC64" s="71"/>
      <c r="AGD64" s="71"/>
      <c r="AGE64" s="71"/>
      <c r="AGF64" s="71"/>
      <c r="AGG64" s="71"/>
      <c r="AGH64" s="71"/>
      <c r="AGI64" s="71"/>
      <c r="AGJ64" s="71"/>
      <c r="AGK64" s="71"/>
      <c r="AGL64" s="71"/>
      <c r="AGM64" s="71"/>
      <c r="AGN64" s="71"/>
      <c r="AGO64" s="71"/>
      <c r="AGP64" s="71"/>
      <c r="AGQ64" s="71"/>
      <c r="AGR64" s="71"/>
      <c r="AGS64" s="71"/>
      <c r="AGT64" s="71"/>
      <c r="AGU64" s="71"/>
      <c r="AGV64" s="71"/>
      <c r="AGW64" s="71"/>
      <c r="AGX64" s="71"/>
      <c r="AGY64" s="71"/>
      <c r="AGZ64" s="71"/>
      <c r="AHA64" s="71"/>
      <c r="AHB64" s="71"/>
      <c r="AHC64" s="71"/>
      <c r="AHD64" s="71"/>
      <c r="AHE64" s="71"/>
      <c r="AHF64" s="71"/>
      <c r="AHG64" s="71"/>
      <c r="AHH64" s="71"/>
      <c r="AHI64" s="71"/>
      <c r="AHJ64" s="71"/>
      <c r="AHK64" s="71"/>
      <c r="AHL64" s="71"/>
      <c r="AHM64" s="71"/>
      <c r="AHN64" s="71"/>
      <c r="AHO64" s="71"/>
      <c r="AHP64" s="71"/>
      <c r="AHQ64" s="71"/>
      <c r="AHR64" s="71"/>
      <c r="AHS64" s="71"/>
      <c r="AHT64" s="71"/>
      <c r="AHU64" s="71"/>
      <c r="AHV64" s="71"/>
      <c r="AHW64" s="71"/>
      <c r="AHX64" s="71"/>
      <c r="AHY64" s="71"/>
      <c r="AHZ64" s="71"/>
      <c r="AIA64" s="71"/>
      <c r="AIB64" s="71"/>
      <c r="AIC64" s="71"/>
      <c r="AID64" s="71"/>
      <c r="AIE64" s="71"/>
      <c r="AIF64" s="71"/>
      <c r="AIG64" s="71"/>
      <c r="AIH64" s="71"/>
      <c r="AII64" s="160" t="s">
        <v>73</v>
      </c>
      <c r="AIJ64" s="159" t="str">
        <f>AIQ7</f>
        <v>CBM</v>
      </c>
      <c r="AIK64" s="167">
        <f>AIR8</f>
        <v>7500</v>
      </c>
      <c r="AIL64" s="158">
        <f t="shared" si="11"/>
        <v>7676.0394999999999</v>
      </c>
      <c r="AIM64" s="158" t="str">
        <f t="shared" si="12"/>
        <v>0</v>
      </c>
      <c r="AIN64" s="158">
        <f>IF(AIM64&lt;(AIK64*MASTER_DATA!D23),AIM64,(AIK64*MASTER_DATA!D23))</f>
        <v>225</v>
      </c>
      <c r="AIO64" s="158" t="str">
        <f t="shared" si="14"/>
        <v>0</v>
      </c>
      <c r="AIP64" s="168">
        <f>AIO64*MASTER_DATA!D15/30.5</f>
        <v>0</v>
      </c>
      <c r="AIQ64" s="169">
        <f>AIO64*MASTER_DATA!E15/30.5</f>
        <v>0</v>
      </c>
      <c r="AIX64" s="147">
        <f t="shared" si="15"/>
        <v>-225</v>
      </c>
      <c r="AIY64" s="147">
        <f>AIK64-AIL64</f>
        <v>-176.03949999999986</v>
      </c>
      <c r="AJC64" s="153" t="s">
        <v>73</v>
      </c>
      <c r="AJD64" s="156">
        <v>3002</v>
      </c>
      <c r="AJE64" s="36">
        <v>707</v>
      </c>
      <c r="AJG64">
        <v>4306</v>
      </c>
      <c r="AJH64" s="7">
        <v>4276</v>
      </c>
      <c r="AJI64">
        <f>AJG64-AJH64</f>
        <v>30</v>
      </c>
      <c r="AJJ64" s="74">
        <f>AIL58/AJH64</f>
        <v>1.1313653758886812</v>
      </c>
      <c r="AJK64">
        <v>1.43</v>
      </c>
      <c r="AJL64" s="74">
        <f>AJJ64-AJK64</f>
        <v>-0.29863462411131869</v>
      </c>
      <c r="AJM64" s="118"/>
      <c r="AJN64">
        <f>AJI64*AJK64</f>
        <v>42.9</v>
      </c>
    </row>
    <row r="65" spans="504:950" ht="15.75" thickBot="1" x14ac:dyDescent="0.3">
      <c r="SJ65" s="134"/>
      <c r="AEH65" s="71"/>
      <c r="AEI65" s="71"/>
      <c r="AEJ65" s="71"/>
      <c r="AEK65" s="71"/>
      <c r="AEL65" s="71"/>
      <c r="AEM65" s="71"/>
      <c r="AEN65" s="71"/>
      <c r="AEO65" s="71"/>
      <c r="AEP65" s="71"/>
      <c r="AEQ65" s="71"/>
      <c r="AER65" s="71"/>
      <c r="AES65" s="71"/>
      <c r="AET65" s="71"/>
      <c r="AEU65" s="71"/>
      <c r="AEV65" s="71"/>
      <c r="AEW65" s="71"/>
      <c r="AEX65" s="71"/>
      <c r="AEY65" s="71"/>
      <c r="AEZ65" s="71"/>
      <c r="AFA65" s="71"/>
      <c r="AFB65" s="71"/>
      <c r="AFC65" s="71"/>
      <c r="AFD65" s="71"/>
      <c r="AFE65" s="71"/>
      <c r="AFF65" s="71"/>
      <c r="AFG65" s="71"/>
      <c r="AFH65" s="71"/>
      <c r="AFI65" s="71"/>
      <c r="AFJ65" s="71"/>
      <c r="AFK65" s="71"/>
      <c r="AFL65" s="71"/>
      <c r="AFM65" s="71"/>
      <c r="AFN65" s="71"/>
      <c r="AFO65" s="71"/>
      <c r="AFP65" s="71"/>
      <c r="AFQ65" s="71"/>
      <c r="AFR65" s="71"/>
      <c r="AFS65" s="71"/>
      <c r="AFT65" s="71"/>
      <c r="AFU65" s="71"/>
      <c r="AFV65" s="71"/>
      <c r="AFW65" s="71"/>
      <c r="AFX65" s="71"/>
      <c r="AFY65" s="71"/>
      <c r="AFZ65" s="71"/>
      <c r="AGA65" s="71"/>
      <c r="AGB65" s="71"/>
      <c r="AGC65" s="71"/>
      <c r="AGD65" s="71"/>
      <c r="AGE65" s="71"/>
      <c r="AGF65" s="71"/>
      <c r="AGG65" s="71"/>
      <c r="AGH65" s="71"/>
      <c r="AGI65" s="71"/>
      <c r="AGJ65" s="71"/>
      <c r="AGK65" s="71"/>
      <c r="AGL65" s="71"/>
      <c r="AGM65" s="71"/>
      <c r="AGN65" s="71"/>
      <c r="AGO65" s="71"/>
      <c r="AGP65" s="71"/>
      <c r="AGQ65" s="71"/>
      <c r="AGR65" s="71"/>
      <c r="AGS65" s="71"/>
      <c r="AGT65" s="71"/>
      <c r="AGU65" s="71"/>
      <c r="AGV65" s="71"/>
      <c r="AGW65" s="71"/>
      <c r="AGX65" s="71"/>
      <c r="AGY65" s="71"/>
      <c r="AGZ65" s="71"/>
      <c r="AHA65" s="71"/>
      <c r="AHB65" s="71"/>
      <c r="AHC65" s="71"/>
      <c r="AHD65" s="71"/>
      <c r="AHE65" s="71"/>
      <c r="AHF65" s="71"/>
      <c r="AHG65" s="71"/>
      <c r="AHH65" s="71"/>
      <c r="AHI65" s="71"/>
      <c r="AHJ65" s="71"/>
      <c r="AHK65" s="71"/>
      <c r="AHL65" s="71"/>
      <c r="AHM65" s="71"/>
      <c r="AHN65" s="71"/>
      <c r="AHO65" s="71"/>
      <c r="AHP65" s="71"/>
      <c r="AHQ65" s="71"/>
      <c r="AHR65" s="71"/>
      <c r="AHS65" s="71"/>
      <c r="AHT65" s="71"/>
      <c r="AHU65" s="71"/>
      <c r="AHV65" s="71"/>
      <c r="AHW65" s="71"/>
      <c r="AHX65" s="71"/>
      <c r="AHY65" s="71"/>
      <c r="AHZ65" s="71"/>
      <c r="AIA65" s="71"/>
      <c r="AIB65" s="71"/>
      <c r="AIC65" s="71"/>
      <c r="AID65" s="71"/>
      <c r="AIE65" s="71"/>
      <c r="AIF65" s="71"/>
      <c r="AIG65" s="71"/>
      <c r="AIH65" s="71"/>
      <c r="AII65" s="161" t="s">
        <v>171</v>
      </c>
      <c r="AIJ65" s="158"/>
      <c r="AIK65" s="170">
        <f t="shared" ref="AIK65:AIQ65" si="18">SUM(AIK58:AIK64)</f>
        <v>55150</v>
      </c>
      <c r="AIL65" s="170">
        <f t="shared" si="18"/>
        <v>30594.351014</v>
      </c>
      <c r="AIM65" s="170">
        <f t="shared" si="18"/>
        <v>24731.688485999999</v>
      </c>
      <c r="AIN65" s="170">
        <f>SUM(AIN58:AIN64)</f>
        <v>2066.5</v>
      </c>
      <c r="AIO65" s="170">
        <f t="shared" si="18"/>
        <v>22890.188485999999</v>
      </c>
      <c r="AIP65" s="188">
        <f t="shared" si="18"/>
        <v>2006317.507859672</v>
      </c>
      <c r="AIQ65" s="189">
        <f t="shared" si="18"/>
        <v>440725.64137829508</v>
      </c>
      <c r="AIR65" s="333"/>
      <c r="AJH65" s="7"/>
      <c r="AJJ65" s="74"/>
      <c r="AJL65" s="74"/>
      <c r="AJM65" s="118"/>
    </row>
    <row r="66" spans="504:950" x14ac:dyDescent="0.25">
      <c r="SJ66" s="134"/>
      <c r="AII66" s="215"/>
      <c r="AIJ66" s="229"/>
      <c r="AIK66" s="230"/>
      <c r="AIL66" s="230"/>
      <c r="AIM66" s="230"/>
      <c r="AIN66" s="230"/>
      <c r="AIO66" s="230"/>
      <c r="AIP66" s="231"/>
      <c r="AIQ66" s="231"/>
      <c r="AIR66" s="333"/>
      <c r="AJH66" s="7"/>
      <c r="AJJ66" s="74"/>
      <c r="AJL66" s="74"/>
      <c r="AJM66" s="118"/>
    </row>
    <row r="67" spans="504:950" ht="15.75" thickBot="1" x14ac:dyDescent="0.3">
      <c r="WJ67" s="267">
        <f>AIK58*AIN54</f>
        <v>721.00000000000011</v>
      </c>
      <c r="WK67" s="267"/>
      <c r="WL67" s="267"/>
      <c r="WM67" s="267"/>
      <c r="WN67" s="267"/>
      <c r="WO67" s="267"/>
      <c r="WP67" s="267"/>
      <c r="WQ67" s="267"/>
      <c r="WR67" s="267"/>
      <c r="WS67" s="267"/>
      <c r="WT67" s="267"/>
      <c r="WU67" s="267"/>
      <c r="WV67" s="267"/>
      <c r="WW67" s="267"/>
      <c r="WX67" s="267"/>
      <c r="WY67" s="267"/>
      <c r="WZ67" s="267"/>
      <c r="XA67" s="267"/>
      <c r="XB67" s="267"/>
      <c r="XC67" s="267"/>
      <c r="XD67" s="267"/>
      <c r="XE67" s="267"/>
      <c r="XF67" s="267"/>
      <c r="XG67" s="267"/>
      <c r="XH67" s="267"/>
      <c r="XI67" s="267"/>
      <c r="XJ67" s="267"/>
      <c r="XK67" s="267"/>
      <c r="XL67" s="267"/>
      <c r="XM67" s="267"/>
      <c r="XN67" s="267"/>
      <c r="XO67" s="267"/>
      <c r="XP67" s="267"/>
      <c r="XQ67" s="267"/>
      <c r="XR67" s="267"/>
      <c r="XS67" s="267"/>
      <c r="XT67" s="267"/>
      <c r="XU67" s="267"/>
      <c r="XV67" s="267"/>
      <c r="XW67" s="267"/>
      <c r="XX67" s="267"/>
      <c r="XY67" s="267"/>
      <c r="XZ67" s="267"/>
      <c r="YA67" s="267"/>
      <c r="YB67" s="267"/>
      <c r="YC67" s="267"/>
      <c r="YD67" s="267"/>
      <c r="YE67" s="267"/>
      <c r="YF67" s="267"/>
      <c r="YG67" s="267"/>
      <c r="YH67" s="267"/>
      <c r="YI67" s="267"/>
      <c r="YJ67" s="267"/>
      <c r="YK67" s="267"/>
      <c r="YL67" s="267"/>
      <c r="YM67" s="267"/>
      <c r="YN67" s="267"/>
      <c r="YO67" s="267"/>
      <c r="YP67" s="267"/>
      <c r="YQ67" s="267"/>
      <c r="YR67" s="267"/>
      <c r="YS67" s="267"/>
      <c r="YT67" s="267"/>
      <c r="YU67" s="267"/>
      <c r="YV67" s="267"/>
      <c r="YW67" s="267"/>
      <c r="YX67" s="267"/>
      <c r="YY67" s="267"/>
      <c r="YZ67" s="267"/>
      <c r="ZA67" s="267"/>
      <c r="ZB67" s="267"/>
      <c r="ZC67" s="267"/>
      <c r="ZD67" s="267"/>
      <c r="ZE67" s="267"/>
      <c r="ZF67" s="267"/>
      <c r="ZG67" s="267"/>
      <c r="ZH67" s="267"/>
      <c r="ZI67" s="267"/>
      <c r="ZJ67" s="267"/>
      <c r="ZK67" s="267"/>
      <c r="ZL67" s="267"/>
      <c r="ZM67" s="267"/>
      <c r="ZN67" s="267"/>
      <c r="ZO67" s="267"/>
      <c r="ZP67" s="267"/>
      <c r="ZQ67" s="267"/>
      <c r="ZR67" s="267"/>
      <c r="ZS67" s="267"/>
      <c r="ZT67" s="267"/>
      <c r="ZU67" s="267"/>
      <c r="ZV67" s="267"/>
      <c r="ZW67" s="267"/>
      <c r="ZX67" s="267"/>
      <c r="ZY67" s="267"/>
      <c r="ZZ67" s="267"/>
      <c r="AAA67" s="267"/>
      <c r="AAB67" s="267"/>
      <c r="AAC67" s="267"/>
      <c r="AAD67" s="267"/>
      <c r="AAE67" s="267"/>
      <c r="AAF67" s="267"/>
      <c r="AAG67" s="267"/>
      <c r="AAH67" s="267"/>
      <c r="AAI67" s="267"/>
      <c r="AAJ67" s="267"/>
      <c r="AAK67" s="267"/>
      <c r="AAL67" s="267"/>
      <c r="AAM67" s="267"/>
      <c r="AAN67" s="267"/>
      <c r="AAO67" s="267"/>
      <c r="AAP67" s="267"/>
      <c r="AAQ67" s="267"/>
      <c r="AAR67" s="267"/>
      <c r="AAS67" s="267"/>
      <c r="AAT67" s="267"/>
      <c r="AAU67" s="267"/>
      <c r="AAV67" s="267"/>
      <c r="AAW67" s="267"/>
      <c r="AAX67" s="267"/>
      <c r="AAY67" s="267"/>
      <c r="AAZ67" s="267"/>
      <c r="ABA67" s="267"/>
      <c r="ABB67" s="267"/>
      <c r="ABC67" s="267"/>
      <c r="ABD67" s="267"/>
      <c r="ABE67" s="267"/>
      <c r="ABF67" s="267"/>
      <c r="ABG67" s="267"/>
      <c r="ABH67" s="267"/>
      <c r="ABI67" s="267"/>
      <c r="ABJ67" s="267"/>
      <c r="ABK67" s="267"/>
      <c r="ABL67" s="267"/>
      <c r="ABM67" s="267"/>
      <c r="ABN67" s="267"/>
      <c r="ABO67" s="267"/>
      <c r="ABP67" s="267"/>
      <c r="ABQ67" s="267"/>
      <c r="ABR67" s="267"/>
      <c r="ABS67" s="267"/>
      <c r="ABT67" s="267"/>
      <c r="ABU67" s="267"/>
      <c r="ABV67" s="267"/>
      <c r="ABW67" s="267"/>
      <c r="ABX67" s="267"/>
      <c r="ABY67" s="267"/>
      <c r="ABZ67" s="267"/>
      <c r="ACA67" s="267"/>
      <c r="ACB67" s="267"/>
      <c r="ACC67" s="267"/>
      <c r="ACD67" s="267"/>
      <c r="ACE67" s="267"/>
      <c r="ACF67" s="267"/>
      <c r="ACG67" s="267"/>
      <c r="ACH67" s="267"/>
      <c r="ACI67" s="267"/>
      <c r="ACJ67" s="267"/>
      <c r="ACK67" s="267"/>
      <c r="ACL67" s="267"/>
      <c r="ACM67" s="267"/>
      <c r="ACN67" s="267"/>
      <c r="ACO67" s="267"/>
      <c r="ACP67" s="267"/>
      <c r="ACQ67" s="267"/>
      <c r="ACR67" s="267"/>
      <c r="ACS67" s="267"/>
      <c r="ACT67" s="267"/>
      <c r="ACU67" s="267"/>
      <c r="ACV67" s="267"/>
      <c r="ACW67" s="267"/>
      <c r="ACX67" s="267"/>
      <c r="ACY67" s="267"/>
      <c r="ACZ67" s="267"/>
      <c r="ADA67" s="267"/>
      <c r="ADB67" s="267"/>
      <c r="ADC67" s="267"/>
      <c r="ADD67" s="267"/>
      <c r="ADE67" s="267"/>
      <c r="ADF67" s="267"/>
      <c r="ADG67" s="267"/>
      <c r="ADH67" s="267"/>
      <c r="ADI67" s="267"/>
      <c r="ADJ67" s="267"/>
      <c r="ADK67" s="267"/>
      <c r="ADL67" s="267"/>
      <c r="ADM67" s="267"/>
      <c r="ADN67" s="267"/>
      <c r="ADO67" s="267"/>
      <c r="ADP67" s="267"/>
      <c r="ADQ67" s="267"/>
      <c r="ADR67" s="267"/>
      <c r="ADS67" s="267"/>
      <c r="ADT67" s="267"/>
      <c r="ADU67" s="267"/>
      <c r="ADV67" s="267"/>
      <c r="ADW67" s="267"/>
      <c r="ADX67" s="267"/>
      <c r="ADY67" s="267"/>
      <c r="ADZ67" s="267"/>
      <c r="AEA67" s="267"/>
      <c r="AEB67" s="267"/>
      <c r="AEC67" s="267"/>
      <c r="AED67" s="267"/>
      <c r="AEE67" s="267"/>
      <c r="AEF67" s="267"/>
      <c r="AEG67" s="267"/>
      <c r="AEH67" s="267"/>
      <c r="AEI67" s="267"/>
      <c r="AEJ67" s="267"/>
      <c r="AEK67" s="267"/>
      <c r="AEL67" s="267"/>
      <c r="AEM67" s="267"/>
      <c r="AEN67" s="267"/>
      <c r="AEO67" s="267"/>
      <c r="AEP67" s="267"/>
      <c r="AEQ67" s="267"/>
      <c r="AER67" s="267"/>
      <c r="AES67" s="267"/>
      <c r="AET67" s="267"/>
      <c r="AEU67" s="267"/>
      <c r="AEV67" s="267"/>
      <c r="AEW67" s="267"/>
      <c r="AEX67" s="267"/>
      <c r="AEY67" s="267"/>
      <c r="AEZ67" s="267"/>
      <c r="AFA67" s="267"/>
      <c r="AFB67" s="267"/>
      <c r="AFC67" s="267"/>
      <c r="AFD67" s="267"/>
      <c r="AFE67" s="267"/>
      <c r="AFF67" s="267"/>
      <c r="AFG67" s="267"/>
      <c r="AFH67" s="267"/>
      <c r="AFI67" s="267"/>
      <c r="AFJ67" s="267"/>
      <c r="AFK67" s="267"/>
      <c r="AFL67" s="267"/>
      <c r="AFM67" s="267"/>
      <c r="AFN67" s="267"/>
      <c r="AFO67" s="267"/>
      <c r="AFP67" s="267"/>
      <c r="AFQ67" s="267"/>
      <c r="AFR67" s="267"/>
      <c r="AFS67" s="267"/>
      <c r="AFT67" s="267"/>
      <c r="AFU67" s="267"/>
      <c r="AFV67" s="267"/>
      <c r="AFW67" s="267"/>
      <c r="AFX67" s="267"/>
      <c r="AFY67" s="267"/>
      <c r="AFZ67" s="267"/>
      <c r="AGA67" s="267"/>
      <c r="AGB67" s="267"/>
      <c r="AGC67" s="267"/>
      <c r="AGD67" s="267"/>
      <c r="AGE67" s="267"/>
      <c r="AGF67" s="267"/>
      <c r="AGG67" s="267"/>
      <c r="AGH67" s="267"/>
      <c r="AGI67" s="267"/>
      <c r="AGJ67" s="267"/>
      <c r="AGK67" s="267"/>
      <c r="AGL67" s="267"/>
      <c r="AGM67" s="267"/>
      <c r="AGN67" s="267"/>
      <c r="AGO67" s="267"/>
      <c r="AGP67" s="267"/>
      <c r="AGQ67" s="267"/>
      <c r="AGR67" s="267"/>
      <c r="AGS67" s="267"/>
      <c r="AGT67" s="267"/>
      <c r="AGU67" s="267"/>
      <c r="AGV67" s="267"/>
      <c r="AGW67" s="267"/>
      <c r="AGX67" s="267"/>
      <c r="AGY67" s="267"/>
      <c r="AGZ67" s="267"/>
      <c r="AHA67" s="267"/>
      <c r="AHB67" s="267"/>
      <c r="AHC67" s="267"/>
      <c r="AHD67" s="267"/>
      <c r="AHE67" s="267"/>
      <c r="AHF67" s="267"/>
      <c r="AHG67" s="267"/>
      <c r="AHH67" s="267"/>
      <c r="AHI67" s="267"/>
      <c r="AHJ67" s="267"/>
      <c r="AHK67" s="267"/>
      <c r="AHL67" s="267"/>
      <c r="AHM67" s="267"/>
      <c r="AHN67" s="267"/>
      <c r="AHO67" s="267"/>
      <c r="AHP67" s="267"/>
      <c r="AHQ67" s="267"/>
      <c r="AHR67" s="267"/>
      <c r="AHS67" s="267"/>
      <c r="AHT67" s="267"/>
      <c r="AHU67" s="267"/>
      <c r="AHV67" s="267"/>
      <c r="AHW67" s="267"/>
      <c r="AHX67" s="267"/>
      <c r="AHY67" s="267"/>
      <c r="AHZ67" s="267"/>
      <c r="AIA67" s="267"/>
      <c r="AIB67" s="267"/>
      <c r="AIC67" s="267"/>
      <c r="AID67" s="267"/>
      <c r="AIE67" s="267"/>
      <c r="AIF67" s="267"/>
      <c r="AIG67" s="267"/>
      <c r="AIH67" s="267"/>
      <c r="AII67" s="311" t="s">
        <v>146</v>
      </c>
      <c r="AIJ67" s="311"/>
      <c r="AIK67" s="311"/>
      <c r="AIL67" s="311"/>
      <c r="AIM67" s="311"/>
      <c r="AIN67" s="311"/>
      <c r="AIO67" s="311"/>
      <c r="AIP67" s="134"/>
      <c r="AIQ67" s="134"/>
      <c r="AIR67" s="71"/>
      <c r="AJH67" s="7"/>
      <c r="AJJ67" s="74"/>
      <c r="AJL67" s="74"/>
      <c r="AJM67" s="118"/>
    </row>
    <row r="68" spans="504:950" ht="30.75" thickBot="1" x14ac:dyDescent="0.3">
      <c r="WJ68" s="268">
        <f>AIK60*AIN55</f>
        <v>307.5</v>
      </c>
      <c r="WK68" s="268"/>
      <c r="WL68" s="268"/>
      <c r="WM68" s="268"/>
      <c r="WN68" s="268"/>
      <c r="WO68" s="268"/>
      <c r="WP68" s="268"/>
      <c r="WQ68" s="268"/>
      <c r="WR68" s="268"/>
      <c r="WS68" s="268"/>
      <c r="WT68" s="268"/>
      <c r="WU68" s="268"/>
      <c r="WV68" s="268"/>
      <c r="WW68" s="268"/>
      <c r="WX68" s="268"/>
      <c r="WY68" s="268"/>
      <c r="WZ68" s="268"/>
      <c r="XA68" s="268"/>
      <c r="XB68" s="268"/>
      <c r="XC68" s="268"/>
      <c r="XD68" s="268"/>
      <c r="XE68" s="268"/>
      <c r="XF68" s="268"/>
      <c r="XG68" s="268"/>
      <c r="XH68" s="268"/>
      <c r="XI68" s="268"/>
      <c r="XJ68" s="268"/>
      <c r="XK68" s="268"/>
      <c r="XL68" s="268"/>
      <c r="XM68" s="268"/>
      <c r="XN68" s="268"/>
      <c r="XO68" s="268"/>
      <c r="XP68" s="268"/>
      <c r="XQ68" s="268"/>
      <c r="XR68" s="268"/>
      <c r="XS68" s="268"/>
      <c r="XT68" s="268"/>
      <c r="XU68" s="268"/>
      <c r="XV68" s="268"/>
      <c r="XW68" s="268"/>
      <c r="XX68" s="268"/>
      <c r="XY68" s="268"/>
      <c r="XZ68" s="268"/>
      <c r="YA68" s="268"/>
      <c r="YB68" s="268"/>
      <c r="YC68" s="268"/>
      <c r="YD68" s="268"/>
      <c r="YE68" s="268"/>
      <c r="YF68" s="268"/>
      <c r="YG68" s="268"/>
      <c r="YH68" s="268"/>
      <c r="YI68" s="268"/>
      <c r="YJ68" s="268"/>
      <c r="YK68" s="268"/>
      <c r="YL68" s="268"/>
      <c r="YM68" s="268"/>
      <c r="YN68" s="268"/>
      <c r="YO68" s="268"/>
      <c r="YP68" s="268"/>
      <c r="YQ68" s="268"/>
      <c r="YR68" s="268"/>
      <c r="YS68" s="268"/>
      <c r="YT68" s="268"/>
      <c r="YU68" s="268"/>
      <c r="YV68" s="268"/>
      <c r="YW68" s="268"/>
      <c r="YX68" s="268"/>
      <c r="YY68" s="268"/>
      <c r="YZ68" s="268"/>
      <c r="ZA68" s="268"/>
      <c r="ZB68" s="268"/>
      <c r="ZC68" s="268"/>
      <c r="ZD68" s="268"/>
      <c r="ZE68" s="268"/>
      <c r="ZF68" s="268"/>
      <c r="ZG68" s="268"/>
      <c r="ZH68" s="268"/>
      <c r="ZI68" s="268"/>
      <c r="ZJ68" s="268"/>
      <c r="ZK68" s="268"/>
      <c r="ZL68" s="268"/>
      <c r="ZM68" s="268"/>
      <c r="ZN68" s="268"/>
      <c r="ZO68" s="268"/>
      <c r="ZP68" s="268"/>
      <c r="ZQ68" s="268"/>
      <c r="ZR68" s="268"/>
      <c r="ZS68" s="268"/>
      <c r="ZT68" s="268"/>
      <c r="ZU68" s="268"/>
      <c r="ZV68" s="268"/>
      <c r="ZW68" s="268"/>
      <c r="ZX68" s="268"/>
      <c r="ZY68" s="268"/>
      <c r="ZZ68" s="268"/>
      <c r="AAA68" s="268"/>
      <c r="AAB68" s="268"/>
      <c r="AAC68" s="268"/>
      <c r="AAD68" s="268"/>
      <c r="AAE68" s="268"/>
      <c r="AAF68" s="268"/>
      <c r="AAG68" s="268"/>
      <c r="AAH68" s="268"/>
      <c r="AAI68" s="268"/>
      <c r="AAJ68" s="268"/>
      <c r="AAK68" s="268"/>
      <c r="AAL68" s="268"/>
      <c r="AAM68" s="268"/>
      <c r="AAN68" s="268"/>
      <c r="AAO68" s="268"/>
      <c r="AAP68" s="268"/>
      <c r="AAQ68" s="268"/>
      <c r="AAR68" s="268"/>
      <c r="AAS68" s="268"/>
      <c r="AAT68" s="268"/>
      <c r="AAU68" s="268"/>
      <c r="AAV68" s="268"/>
      <c r="AAW68" s="268"/>
      <c r="AAX68" s="268"/>
      <c r="AAY68" s="268"/>
      <c r="AAZ68" s="268"/>
      <c r="ABA68" s="268"/>
      <c r="ABB68" s="268"/>
      <c r="ABC68" s="268"/>
      <c r="ABD68" s="268"/>
      <c r="ABE68" s="268"/>
      <c r="ABF68" s="268"/>
      <c r="ABG68" s="268"/>
      <c r="ABH68" s="268"/>
      <c r="ABI68" s="268"/>
      <c r="ABJ68" s="268"/>
      <c r="ABK68" s="268"/>
      <c r="ABL68" s="268"/>
      <c r="ABM68" s="268"/>
      <c r="ABN68" s="268"/>
      <c r="ABO68" s="268"/>
      <c r="ABP68" s="268"/>
      <c r="ABQ68" s="268"/>
      <c r="ABR68" s="268"/>
      <c r="ABS68" s="268"/>
      <c r="ABT68" s="268"/>
      <c r="ABU68" s="268"/>
      <c r="ABV68" s="268"/>
      <c r="ABW68" s="268"/>
      <c r="ABX68" s="268"/>
      <c r="ABY68" s="268"/>
      <c r="ABZ68" s="268"/>
      <c r="ACA68" s="268"/>
      <c r="ACB68" s="268"/>
      <c r="ACC68" s="268"/>
      <c r="ACD68" s="268"/>
      <c r="ACE68" s="268"/>
      <c r="ACF68" s="268"/>
      <c r="ACG68" s="268"/>
      <c r="ACH68" s="268"/>
      <c r="ACI68" s="268"/>
      <c r="ACJ68" s="268"/>
      <c r="ACK68" s="268"/>
      <c r="ACL68" s="268"/>
      <c r="ACM68" s="268"/>
      <c r="ACN68" s="268"/>
      <c r="ACO68" s="268"/>
      <c r="ACP68" s="268"/>
      <c r="ACQ68" s="268"/>
      <c r="ACR68" s="268"/>
      <c r="ACS68" s="268"/>
      <c r="ACT68" s="268"/>
      <c r="ACU68" s="268"/>
      <c r="ACV68" s="268"/>
      <c r="ACW68" s="268"/>
      <c r="ACX68" s="268"/>
      <c r="ACY68" s="268"/>
      <c r="ACZ68" s="268"/>
      <c r="ADA68" s="268"/>
      <c r="ADB68" s="268"/>
      <c r="ADC68" s="268"/>
      <c r="ADD68" s="268"/>
      <c r="ADE68" s="268"/>
      <c r="ADF68" s="268"/>
      <c r="ADG68" s="268"/>
      <c r="ADH68" s="268"/>
      <c r="ADI68" s="268"/>
      <c r="ADJ68" s="268"/>
      <c r="ADK68" s="268"/>
      <c r="ADL68" s="268"/>
      <c r="ADM68" s="268"/>
      <c r="ADN68" s="268"/>
      <c r="ADO68" s="268"/>
      <c r="ADP68" s="268"/>
      <c r="ADQ68" s="268"/>
      <c r="ADR68" s="268"/>
      <c r="ADS68" s="268"/>
      <c r="ADT68" s="268"/>
      <c r="ADU68" s="268"/>
      <c r="ADV68" s="268"/>
      <c r="ADW68" s="268"/>
      <c r="ADX68" s="268"/>
      <c r="ADY68" s="268"/>
      <c r="ADZ68" s="268"/>
      <c r="AEA68" s="268"/>
      <c r="AEB68" s="268"/>
      <c r="AEC68" s="268"/>
      <c r="AED68" s="268"/>
      <c r="AEE68" s="268"/>
      <c r="AEF68" s="268"/>
      <c r="AEG68" s="268"/>
      <c r="AEH68" s="268"/>
      <c r="AEI68" s="268"/>
      <c r="AEJ68" s="268"/>
      <c r="AEK68" s="268"/>
      <c r="AEL68" s="268"/>
      <c r="AEM68" s="268"/>
      <c r="AEN68" s="268"/>
      <c r="AEO68" s="268"/>
      <c r="AEP68" s="268"/>
      <c r="AEQ68" s="268"/>
      <c r="AER68" s="268"/>
      <c r="AES68" s="268"/>
      <c r="AET68" s="268"/>
      <c r="AEU68" s="268"/>
      <c r="AEV68" s="268"/>
      <c r="AEW68" s="268"/>
      <c r="AEX68" s="268"/>
      <c r="AEY68" s="268"/>
      <c r="AEZ68" s="268"/>
      <c r="AFA68" s="268"/>
      <c r="AFB68" s="268"/>
      <c r="AFC68" s="268"/>
      <c r="AFD68" s="268"/>
      <c r="AFE68" s="268"/>
      <c r="AFF68" s="268"/>
      <c r="AFG68" s="268"/>
      <c r="AFH68" s="268"/>
      <c r="AFI68" s="268"/>
      <c r="AFJ68" s="268"/>
      <c r="AFK68" s="268"/>
      <c r="AFL68" s="268"/>
      <c r="AFM68" s="268"/>
      <c r="AFN68" s="268"/>
      <c r="AFO68" s="268"/>
      <c r="AFP68" s="268"/>
      <c r="AFQ68" s="268"/>
      <c r="AFR68" s="268"/>
      <c r="AFS68" s="268"/>
      <c r="AFT68" s="268"/>
      <c r="AFU68" s="268"/>
      <c r="AFV68" s="268"/>
      <c r="AFW68" s="268"/>
      <c r="AFX68" s="268"/>
      <c r="AFY68" s="268"/>
      <c r="AFZ68" s="268"/>
      <c r="AGA68" s="268"/>
      <c r="AGB68" s="268"/>
      <c r="AGC68" s="268"/>
      <c r="AGD68" s="268"/>
      <c r="AGE68" s="268"/>
      <c r="AGF68" s="268"/>
      <c r="AGG68" s="268"/>
      <c r="AGH68" s="268"/>
      <c r="AGI68" s="268"/>
      <c r="AGJ68" s="268"/>
      <c r="AGK68" s="268"/>
      <c r="AGL68" s="268"/>
      <c r="AGM68" s="268"/>
      <c r="AGN68" s="268"/>
      <c r="AGO68" s="268"/>
      <c r="AGP68" s="268"/>
      <c r="AGQ68" s="268"/>
      <c r="AGR68" s="268"/>
      <c r="AGS68" s="268"/>
      <c r="AGT68" s="268"/>
      <c r="AGU68" s="268"/>
      <c r="AGV68" s="268"/>
      <c r="AGW68" s="268"/>
      <c r="AGX68" s="268"/>
      <c r="AGY68" s="268"/>
      <c r="AGZ68" s="268"/>
      <c r="AHA68" s="268"/>
      <c r="AHB68" s="268"/>
      <c r="AHC68" s="268"/>
      <c r="AHD68" s="268"/>
      <c r="AHE68" s="268"/>
      <c r="AHF68" s="268"/>
      <c r="AHG68" s="268"/>
      <c r="AHH68" s="268"/>
      <c r="AHI68" s="268"/>
      <c r="AHJ68" s="268"/>
      <c r="AHK68" s="268"/>
      <c r="AHL68" s="268"/>
      <c r="AHM68" s="268"/>
      <c r="AHN68" s="268"/>
      <c r="AHO68" s="268"/>
      <c r="AHP68" s="268"/>
      <c r="AHQ68" s="268"/>
      <c r="AHR68" s="268"/>
      <c r="AHS68" s="268"/>
      <c r="AHT68" s="268"/>
      <c r="AHU68" s="268"/>
      <c r="AHV68" s="268"/>
      <c r="AHW68" s="268"/>
      <c r="AHX68" s="268"/>
      <c r="AHY68" s="268"/>
      <c r="AHZ68" s="268"/>
      <c r="AIA68" s="268"/>
      <c r="AIB68" s="268"/>
      <c r="AIC68" s="268"/>
      <c r="AID68" s="268"/>
      <c r="AIE68" s="268"/>
      <c r="AIF68" s="268"/>
      <c r="AIG68" s="268"/>
      <c r="AIH68" s="268"/>
      <c r="AII68" s="244" t="s">
        <v>155</v>
      </c>
      <c r="AIJ68" s="166" t="s">
        <v>156</v>
      </c>
      <c r="AIK68" s="166" t="s">
        <v>157</v>
      </c>
      <c r="AIL68" s="166" t="s">
        <v>158</v>
      </c>
      <c r="AIM68" s="165" t="s">
        <v>159</v>
      </c>
      <c r="AIN68" s="353"/>
      <c r="AIO68" s="134"/>
      <c r="AIP68" s="122"/>
      <c r="AIQ68" s="134">
        <f>AIK58*0.07</f>
        <v>721.00000000000011</v>
      </c>
      <c r="AIR68" s="71"/>
      <c r="AJG68">
        <f>2882-AJG72</f>
        <v>2437</v>
      </c>
      <c r="AJH68" s="7">
        <v>2354</v>
      </c>
      <c r="AJI68">
        <v>0</v>
      </c>
      <c r="AJJ68" s="74">
        <f>AIL60/AJH68</f>
        <v>2.6149706457094304</v>
      </c>
      <c r="AJK68">
        <v>3.17</v>
      </c>
      <c r="AJL68" s="74">
        <f>AJJ68-AJK68</f>
        <v>-0.55502935429056954</v>
      </c>
      <c r="AJN68">
        <f>AJI68*AJK68</f>
        <v>0</v>
      </c>
    </row>
    <row r="69" spans="504:950" ht="15.75" thickBot="1" x14ac:dyDescent="0.3">
      <c r="WJ69" s="267">
        <f>AIK61*AIN55</f>
        <v>630</v>
      </c>
      <c r="WK69" s="267"/>
      <c r="WL69" s="267"/>
      <c r="WM69" s="267"/>
      <c r="WN69" s="267"/>
      <c r="WO69" s="267"/>
      <c r="WP69" s="267"/>
      <c r="WQ69" s="267"/>
      <c r="WR69" s="267"/>
      <c r="WS69" s="267"/>
      <c r="WT69" s="267"/>
      <c r="WU69" s="267"/>
      <c r="WV69" s="267"/>
      <c r="WW69" s="267"/>
      <c r="WX69" s="267"/>
      <c r="WY69" s="267"/>
      <c r="WZ69" s="267"/>
      <c r="XA69" s="267"/>
      <c r="XB69" s="267"/>
      <c r="XC69" s="267"/>
      <c r="XD69" s="267"/>
      <c r="XE69" s="267"/>
      <c r="XF69" s="267"/>
      <c r="XG69" s="267"/>
      <c r="XH69" s="267"/>
      <c r="XI69" s="267"/>
      <c r="XJ69" s="267"/>
      <c r="XK69" s="267"/>
      <c r="XL69" s="267"/>
      <c r="XM69" s="267"/>
      <c r="XN69" s="267"/>
      <c r="XO69" s="267"/>
      <c r="XP69" s="267"/>
      <c r="XQ69" s="267"/>
      <c r="XR69" s="267"/>
      <c r="XS69" s="267"/>
      <c r="XT69" s="267"/>
      <c r="XU69" s="267"/>
      <c r="XV69" s="267"/>
      <c r="XW69" s="267"/>
      <c r="XX69" s="267"/>
      <c r="XY69" s="267"/>
      <c r="XZ69" s="267"/>
      <c r="YA69" s="267"/>
      <c r="YB69" s="267"/>
      <c r="YC69" s="267"/>
      <c r="YD69" s="267"/>
      <c r="YE69" s="267"/>
      <c r="YF69" s="267"/>
      <c r="YG69" s="267"/>
      <c r="YH69" s="267"/>
      <c r="YI69" s="267"/>
      <c r="YJ69" s="267"/>
      <c r="YK69" s="267"/>
      <c r="YL69" s="267"/>
      <c r="YM69" s="267"/>
      <c r="YN69" s="267"/>
      <c r="YO69" s="267"/>
      <c r="YP69" s="267"/>
      <c r="YQ69" s="267"/>
      <c r="YR69" s="267"/>
      <c r="YS69" s="267"/>
      <c r="YT69" s="267"/>
      <c r="YU69" s="267"/>
      <c r="YV69" s="267"/>
      <c r="YW69" s="267"/>
      <c r="YX69" s="267"/>
      <c r="YY69" s="267"/>
      <c r="YZ69" s="267"/>
      <c r="ZA69" s="267"/>
      <c r="ZB69" s="267"/>
      <c r="ZC69" s="267"/>
      <c r="ZD69" s="267"/>
      <c r="ZE69" s="267"/>
      <c r="ZF69" s="267"/>
      <c r="ZG69" s="267"/>
      <c r="ZH69" s="267"/>
      <c r="ZI69" s="267"/>
      <c r="ZJ69" s="267"/>
      <c r="ZK69" s="267"/>
      <c r="ZL69" s="267"/>
      <c r="ZM69" s="267"/>
      <c r="ZN69" s="267"/>
      <c r="ZO69" s="267"/>
      <c r="ZP69" s="267"/>
      <c r="ZQ69" s="267"/>
      <c r="ZR69" s="267"/>
      <c r="ZS69" s="267"/>
      <c r="ZT69" s="267"/>
      <c r="ZU69" s="267"/>
      <c r="ZV69" s="267"/>
      <c r="ZW69" s="267"/>
      <c r="ZX69" s="267"/>
      <c r="ZY69" s="267"/>
      <c r="ZZ69" s="267"/>
      <c r="AAA69" s="267"/>
      <c r="AAB69" s="267"/>
      <c r="AAC69" s="267"/>
      <c r="AAD69" s="267"/>
      <c r="AAE69" s="267"/>
      <c r="AAF69" s="267"/>
      <c r="AAG69" s="267"/>
      <c r="AAH69" s="267"/>
      <c r="AAI69" s="267"/>
      <c r="AAJ69" s="267"/>
      <c r="AAK69" s="267"/>
      <c r="AAL69" s="267"/>
      <c r="AAM69" s="267"/>
      <c r="AAN69" s="267"/>
      <c r="AAO69" s="267"/>
      <c r="AAP69" s="267"/>
      <c r="AAQ69" s="267"/>
      <c r="AAR69" s="267"/>
      <c r="AAS69" s="267"/>
      <c r="AAT69" s="267"/>
      <c r="AAU69" s="267"/>
      <c r="AAV69" s="267"/>
      <c r="AAW69" s="267"/>
      <c r="AAX69" s="267"/>
      <c r="AAY69" s="267"/>
      <c r="AAZ69" s="267"/>
      <c r="ABA69" s="267"/>
      <c r="ABB69" s="267"/>
      <c r="ABC69" s="267"/>
      <c r="ABD69" s="267"/>
      <c r="ABE69" s="267"/>
      <c r="ABF69" s="267"/>
      <c r="ABG69" s="267"/>
      <c r="ABH69" s="267"/>
      <c r="ABI69" s="267"/>
      <c r="ABJ69" s="267"/>
      <c r="ABK69" s="267"/>
      <c r="ABL69" s="267"/>
      <c r="ABM69" s="267"/>
      <c r="ABN69" s="267"/>
      <c r="ABO69" s="267"/>
      <c r="ABP69" s="267"/>
      <c r="ABQ69" s="267"/>
      <c r="ABR69" s="267"/>
      <c r="ABS69" s="267"/>
      <c r="ABT69" s="267"/>
      <c r="ABU69" s="267"/>
      <c r="ABV69" s="267"/>
      <c r="ABW69" s="267"/>
      <c r="ABX69" s="267"/>
      <c r="ABY69" s="267"/>
      <c r="ABZ69" s="267"/>
      <c r="ACA69" s="267"/>
      <c r="ACB69" s="267"/>
      <c r="ACC69" s="267"/>
      <c r="ACD69" s="267"/>
      <c r="ACE69" s="267"/>
      <c r="ACF69" s="267"/>
      <c r="ACG69" s="267"/>
      <c r="ACH69" s="267"/>
      <c r="ACI69" s="267"/>
      <c r="ACJ69" s="267"/>
      <c r="ACK69" s="267"/>
      <c r="ACL69" s="267"/>
      <c r="ACM69" s="267"/>
      <c r="ACN69" s="267"/>
      <c r="ACO69" s="267"/>
      <c r="ACP69" s="267"/>
      <c r="ACQ69" s="267"/>
      <c r="ACR69" s="267"/>
      <c r="ACS69" s="267"/>
      <c r="ACT69" s="267"/>
      <c r="ACU69" s="267"/>
      <c r="ACV69" s="267"/>
      <c r="ACW69" s="267"/>
      <c r="ACX69" s="267"/>
      <c r="ACY69" s="267"/>
      <c r="ACZ69" s="267"/>
      <c r="ADA69" s="267"/>
      <c r="ADB69" s="267"/>
      <c r="ADC69" s="267"/>
      <c r="ADD69" s="267"/>
      <c r="ADE69" s="267"/>
      <c r="ADF69" s="267"/>
      <c r="ADG69" s="267"/>
      <c r="ADH69" s="267"/>
      <c r="ADI69" s="267"/>
      <c r="ADJ69" s="267"/>
      <c r="ADK69" s="267"/>
      <c r="ADL69" s="267"/>
      <c r="ADM69" s="267"/>
      <c r="ADN69" s="267"/>
      <c r="ADO69" s="267"/>
      <c r="ADP69" s="267"/>
      <c r="ADQ69" s="267"/>
      <c r="ADR69" s="267"/>
      <c r="ADS69" s="267"/>
      <c r="ADT69" s="267"/>
      <c r="ADU69" s="267"/>
      <c r="ADV69" s="267"/>
      <c r="ADW69" s="267"/>
      <c r="ADX69" s="267"/>
      <c r="ADY69" s="267"/>
      <c r="ADZ69" s="267"/>
      <c r="AEA69" s="267"/>
      <c r="AEB69" s="267"/>
      <c r="AEC69" s="267"/>
      <c r="AED69" s="267"/>
      <c r="AEE69" s="267"/>
      <c r="AEF69" s="267"/>
      <c r="AEG69" s="267"/>
      <c r="AEH69" s="267"/>
      <c r="AEI69" s="267"/>
      <c r="AEJ69" s="267"/>
      <c r="AEK69" s="267"/>
      <c r="AEL69" s="267"/>
      <c r="AEM69" s="267"/>
      <c r="AEN69" s="267"/>
      <c r="AEO69" s="267"/>
      <c r="AEP69" s="267"/>
      <c r="AEQ69" s="267"/>
      <c r="AER69" s="267"/>
      <c r="AES69" s="267"/>
      <c r="AET69" s="267"/>
      <c r="AEU69" s="267"/>
      <c r="AEV69" s="267"/>
      <c r="AEW69" s="267"/>
      <c r="AEX69" s="267"/>
      <c r="AEY69" s="267"/>
      <c r="AEZ69" s="267"/>
      <c r="AFA69" s="267"/>
      <c r="AFB69" s="267"/>
      <c r="AFC69" s="267"/>
      <c r="AFD69" s="267"/>
      <c r="AFE69" s="267"/>
      <c r="AFF69" s="267"/>
      <c r="AFG69" s="267"/>
      <c r="AFH69" s="267"/>
      <c r="AFI69" s="267"/>
      <c r="AFJ69" s="267"/>
      <c r="AFK69" s="267"/>
      <c r="AFL69" s="267"/>
      <c r="AFM69" s="267"/>
      <c r="AFN69" s="267"/>
      <c r="AFO69" s="267"/>
      <c r="AFP69" s="267"/>
      <c r="AFQ69" s="267"/>
      <c r="AFR69" s="267"/>
      <c r="AFS69" s="267"/>
      <c r="AFT69" s="267"/>
      <c r="AFU69" s="267"/>
      <c r="AFV69" s="267"/>
      <c r="AFW69" s="267"/>
      <c r="AFX69" s="267"/>
      <c r="AFY69" s="267"/>
      <c r="AFZ69" s="267"/>
      <c r="AGA69" s="267"/>
      <c r="AGB69" s="267"/>
      <c r="AGC69" s="267"/>
      <c r="AGD69" s="267"/>
      <c r="AGE69" s="267"/>
      <c r="AGF69" s="267"/>
      <c r="AGG69" s="267"/>
      <c r="AGH69" s="267"/>
      <c r="AGI69" s="267"/>
      <c r="AGJ69" s="267"/>
      <c r="AGK69" s="267"/>
      <c r="AGL69" s="267"/>
      <c r="AGM69" s="267"/>
      <c r="AGN69" s="267"/>
      <c r="AGO69" s="267"/>
      <c r="AGP69" s="267"/>
      <c r="AGQ69" s="267"/>
      <c r="AGR69" s="267"/>
      <c r="AGS69" s="267"/>
      <c r="AGT69" s="267"/>
      <c r="AGU69" s="267"/>
      <c r="AGV69" s="267"/>
      <c r="AGW69" s="267"/>
      <c r="AGX69" s="267"/>
      <c r="AGY69" s="267"/>
      <c r="AGZ69" s="267"/>
      <c r="AHA69" s="267"/>
      <c r="AHB69" s="267"/>
      <c r="AHC69" s="267"/>
      <c r="AHD69" s="267"/>
      <c r="AHE69" s="267"/>
      <c r="AHF69" s="267"/>
      <c r="AHG69" s="267"/>
      <c r="AHH69" s="267"/>
      <c r="AHI69" s="267"/>
      <c r="AHJ69" s="267"/>
      <c r="AHK69" s="267"/>
      <c r="AHL69" s="267"/>
      <c r="AHM69" s="267"/>
      <c r="AHN69" s="267"/>
      <c r="AHO69" s="267"/>
      <c r="AHP69" s="267"/>
      <c r="AHQ69" s="267"/>
      <c r="AHR69" s="267"/>
      <c r="AHS69" s="267"/>
      <c r="AHT69" s="267"/>
      <c r="AHU69" s="267"/>
      <c r="AHV69" s="267"/>
      <c r="AHW69" s="267"/>
      <c r="AHX69" s="267"/>
      <c r="AHY69" s="267"/>
      <c r="AHZ69" s="267"/>
      <c r="AIA69" s="267"/>
      <c r="AIB69" s="267"/>
      <c r="AIC69" s="267"/>
      <c r="AID69" s="267"/>
      <c r="AIE69" s="267"/>
      <c r="AIF69" s="267"/>
      <c r="AIG69" s="267"/>
      <c r="AIH69" s="267"/>
      <c r="AII69" s="178" t="s">
        <v>81</v>
      </c>
      <c r="AIJ69" s="478" t="s">
        <v>172</v>
      </c>
      <c r="AIK69" s="479">
        <v>10131</v>
      </c>
      <c r="AIL69" s="308">
        <f>'DATA Enter'!F5</f>
        <v>8238</v>
      </c>
      <c r="AIM69" s="179">
        <v>0</v>
      </c>
      <c r="AIN69" s="134"/>
      <c r="AIO69" s="134"/>
      <c r="AIP69" s="134"/>
      <c r="AIQ69" s="134"/>
      <c r="AIR69" s="71"/>
      <c r="AJF69" s="70"/>
      <c r="AJG69">
        <v>7124</v>
      </c>
      <c r="AJH69" s="7">
        <v>4309</v>
      </c>
      <c r="AJI69">
        <f>AJG69-AJH69</f>
        <v>2815</v>
      </c>
      <c r="AJJ69" s="74">
        <f>AIL61/AJH69</f>
        <v>2.0361271524715709</v>
      </c>
      <c r="AJK69">
        <v>2.2599999999999998</v>
      </c>
      <c r="AJL69" s="74">
        <f>AJJ69-AJK69</f>
        <v>-0.22387284752842884</v>
      </c>
      <c r="AJN69">
        <f>AJI69*AJK69</f>
        <v>6361.9</v>
      </c>
    </row>
    <row r="70" spans="504:950" ht="30.75" thickBot="1" x14ac:dyDescent="0.3">
      <c r="WJ70" s="267">
        <f>AIK64*AIN55</f>
        <v>225</v>
      </c>
      <c r="WK70" s="267"/>
      <c r="WL70" s="267"/>
      <c r="WM70" s="267"/>
      <c r="WN70" s="267"/>
      <c r="WO70" s="267"/>
      <c r="WP70" s="267"/>
      <c r="WQ70" s="267"/>
      <c r="WR70" s="267"/>
      <c r="WS70" s="267"/>
      <c r="WT70" s="267"/>
      <c r="WU70" s="267"/>
      <c r="WV70" s="267"/>
      <c r="WW70" s="267"/>
      <c r="WX70" s="267"/>
      <c r="WY70" s="267"/>
      <c r="WZ70" s="267"/>
      <c r="XA70" s="267"/>
      <c r="XB70" s="267"/>
      <c r="XC70" s="267"/>
      <c r="XD70" s="267"/>
      <c r="XE70" s="267"/>
      <c r="XF70" s="267"/>
      <c r="XG70" s="267"/>
      <c r="XH70" s="267"/>
      <c r="XI70" s="267"/>
      <c r="XJ70" s="267"/>
      <c r="XK70" s="267"/>
      <c r="XL70" s="267"/>
      <c r="XM70" s="267"/>
      <c r="XN70" s="267"/>
      <c r="XO70" s="267"/>
      <c r="XP70" s="267"/>
      <c r="XQ70" s="267"/>
      <c r="XR70" s="267"/>
      <c r="XS70" s="267"/>
      <c r="XT70" s="267"/>
      <c r="XU70" s="267"/>
      <c r="XV70" s="267"/>
      <c r="XW70" s="267"/>
      <c r="XX70" s="267"/>
      <c r="XY70" s="267"/>
      <c r="XZ70" s="267"/>
      <c r="YA70" s="267"/>
      <c r="YB70" s="267"/>
      <c r="YC70" s="267"/>
      <c r="YD70" s="267"/>
      <c r="YE70" s="267"/>
      <c r="YF70" s="267"/>
      <c r="YG70" s="267"/>
      <c r="YH70" s="267"/>
      <c r="YI70" s="267"/>
      <c r="YJ70" s="267"/>
      <c r="YK70" s="267"/>
      <c r="YL70" s="267"/>
      <c r="YM70" s="267"/>
      <c r="YN70" s="267"/>
      <c r="YO70" s="267"/>
      <c r="YP70" s="267"/>
      <c r="YQ70" s="267"/>
      <c r="YR70" s="267"/>
      <c r="YS70" s="267"/>
      <c r="YT70" s="267"/>
      <c r="YU70" s="267"/>
      <c r="YV70" s="267"/>
      <c r="YW70" s="267"/>
      <c r="YX70" s="267"/>
      <c r="YY70" s="267"/>
      <c r="YZ70" s="267"/>
      <c r="ZA70" s="267"/>
      <c r="ZB70" s="267"/>
      <c r="ZC70" s="267"/>
      <c r="ZD70" s="267"/>
      <c r="ZE70" s="267"/>
      <c r="ZF70" s="267"/>
      <c r="ZG70" s="267"/>
      <c r="ZH70" s="267"/>
      <c r="ZI70" s="267"/>
      <c r="ZJ70" s="267"/>
      <c r="ZK70" s="267"/>
      <c r="ZL70" s="267"/>
      <c r="ZM70" s="267"/>
      <c r="ZN70" s="267"/>
      <c r="ZO70" s="267"/>
      <c r="ZP70" s="267"/>
      <c r="ZQ70" s="267"/>
      <c r="ZR70" s="267"/>
      <c r="ZS70" s="267"/>
      <c r="ZT70" s="267"/>
      <c r="ZU70" s="267"/>
      <c r="ZV70" s="267"/>
      <c r="ZW70" s="267"/>
      <c r="ZX70" s="267"/>
      <c r="ZY70" s="267"/>
      <c r="ZZ70" s="267"/>
      <c r="AAA70" s="267"/>
      <c r="AAB70" s="267"/>
      <c r="AAC70" s="267"/>
      <c r="AAD70" s="267"/>
      <c r="AAE70" s="267"/>
      <c r="AAF70" s="267"/>
      <c r="AAG70" s="267"/>
      <c r="AAH70" s="267"/>
      <c r="AAI70" s="267"/>
      <c r="AAJ70" s="267"/>
      <c r="AAK70" s="267"/>
      <c r="AAL70" s="267"/>
      <c r="AAM70" s="267"/>
      <c r="AAN70" s="267"/>
      <c r="AAO70" s="267"/>
      <c r="AAP70" s="267"/>
      <c r="AAQ70" s="267"/>
      <c r="AAR70" s="267"/>
      <c r="AAS70" s="267"/>
      <c r="AAT70" s="267"/>
      <c r="AAU70" s="267"/>
      <c r="AAV70" s="267"/>
      <c r="AAW70" s="267"/>
      <c r="AAX70" s="267"/>
      <c r="AAY70" s="267"/>
      <c r="AAZ70" s="267"/>
      <c r="ABA70" s="267"/>
      <c r="ABB70" s="267"/>
      <c r="ABC70" s="267"/>
      <c r="ABD70" s="267"/>
      <c r="ABE70" s="267"/>
      <c r="ABF70" s="267"/>
      <c r="ABG70" s="267"/>
      <c r="ABH70" s="267"/>
      <c r="ABI70" s="267"/>
      <c r="ABJ70" s="267"/>
      <c r="ABK70" s="267"/>
      <c r="ABL70" s="267"/>
      <c r="ABM70" s="267"/>
      <c r="ABN70" s="267"/>
      <c r="ABO70" s="267"/>
      <c r="ABP70" s="267"/>
      <c r="ABQ70" s="267"/>
      <c r="ABR70" s="267"/>
      <c r="ABS70" s="267"/>
      <c r="ABT70" s="267"/>
      <c r="ABU70" s="267"/>
      <c r="ABV70" s="267"/>
      <c r="ABW70" s="267"/>
      <c r="ABX70" s="267"/>
      <c r="ABY70" s="267"/>
      <c r="ABZ70" s="267"/>
      <c r="ACA70" s="267"/>
      <c r="ACB70" s="267"/>
      <c r="ACC70" s="267"/>
      <c r="ACD70" s="267"/>
      <c r="ACE70" s="267"/>
      <c r="ACF70" s="267"/>
      <c r="ACG70" s="267"/>
      <c r="ACH70" s="267"/>
      <c r="ACI70" s="267"/>
      <c r="ACJ70" s="267"/>
      <c r="ACK70" s="267"/>
      <c r="ACL70" s="267"/>
      <c r="ACM70" s="267"/>
      <c r="ACN70" s="267"/>
      <c r="ACO70" s="267"/>
      <c r="ACP70" s="267"/>
      <c r="ACQ70" s="267"/>
      <c r="ACR70" s="267"/>
      <c r="ACS70" s="267"/>
      <c r="ACT70" s="267"/>
      <c r="ACU70" s="267"/>
      <c r="ACV70" s="267"/>
      <c r="ACW70" s="267"/>
      <c r="ACX70" s="267"/>
      <c r="ACY70" s="267"/>
      <c r="ACZ70" s="267"/>
      <c r="ADA70" s="267"/>
      <c r="ADB70" s="267"/>
      <c r="ADC70" s="267"/>
      <c r="ADD70" s="267"/>
      <c r="ADE70" s="267"/>
      <c r="ADF70" s="267"/>
      <c r="ADG70" s="267"/>
      <c r="ADH70" s="267"/>
      <c r="ADI70" s="267"/>
      <c r="ADJ70" s="267"/>
      <c r="ADK70" s="267"/>
      <c r="ADL70" s="267"/>
      <c r="ADM70" s="267"/>
      <c r="ADN70" s="267"/>
      <c r="ADO70" s="267"/>
      <c r="ADP70" s="267"/>
      <c r="ADQ70" s="267"/>
      <c r="ADR70" s="267"/>
      <c r="ADS70" s="267"/>
      <c r="ADT70" s="267"/>
      <c r="ADU70" s="267"/>
      <c r="ADV70" s="267"/>
      <c r="ADW70" s="267"/>
      <c r="ADX70" s="267"/>
      <c r="ADY70" s="267"/>
      <c r="ADZ70" s="267"/>
      <c r="AEA70" s="267"/>
      <c r="AEB70" s="267"/>
      <c r="AEC70" s="267"/>
      <c r="AED70" s="267"/>
      <c r="AEE70" s="267"/>
      <c r="AEF70" s="267"/>
      <c r="AEG70" s="267"/>
      <c r="AEH70" s="267"/>
      <c r="AEI70" s="267"/>
      <c r="AEJ70" s="267"/>
      <c r="AEK70" s="267"/>
      <c r="AEL70" s="267"/>
      <c r="AEM70" s="267"/>
      <c r="AEN70" s="267"/>
      <c r="AEO70" s="267"/>
      <c r="AEP70" s="267"/>
      <c r="AEQ70" s="267"/>
      <c r="AER70" s="267"/>
      <c r="AES70" s="267"/>
      <c r="AET70" s="267"/>
      <c r="AEU70" s="267"/>
      <c r="AEV70" s="267"/>
      <c r="AEW70" s="267"/>
      <c r="AEX70" s="267"/>
      <c r="AEY70" s="267"/>
      <c r="AEZ70" s="267"/>
      <c r="AFA70" s="267"/>
      <c r="AFB70" s="267"/>
      <c r="AFC70" s="267"/>
      <c r="AFD70" s="267"/>
      <c r="AFE70" s="267"/>
      <c r="AFF70" s="267"/>
      <c r="AFG70" s="267"/>
      <c r="AFH70" s="267"/>
      <c r="AFI70" s="267"/>
      <c r="AFJ70" s="267"/>
      <c r="AFK70" s="267"/>
      <c r="AFL70" s="267"/>
      <c r="AFM70" s="267"/>
      <c r="AFN70" s="267"/>
      <c r="AFO70" s="267"/>
      <c r="AFP70" s="267"/>
      <c r="AFQ70" s="267"/>
      <c r="AFR70" s="267"/>
      <c r="AFS70" s="267"/>
      <c r="AFT70" s="267"/>
      <c r="AFU70" s="267"/>
      <c r="AFV70" s="267"/>
      <c r="AFW70" s="267"/>
      <c r="AFX70" s="267"/>
      <c r="AFY70" s="267"/>
      <c r="AFZ70" s="267"/>
      <c r="AGA70" s="267"/>
      <c r="AGB70" s="267"/>
      <c r="AGC70" s="267"/>
      <c r="AGD70" s="267"/>
      <c r="AGE70" s="267"/>
      <c r="AGF70" s="267"/>
      <c r="AGG70" s="267"/>
      <c r="AGH70" s="267"/>
      <c r="AGI70" s="267"/>
      <c r="AGJ70" s="267"/>
      <c r="AGK70" s="267"/>
      <c r="AGL70" s="267"/>
      <c r="AGM70" s="267"/>
      <c r="AGN70" s="267"/>
      <c r="AGO70" s="267"/>
      <c r="AGP70" s="267"/>
      <c r="AGQ70" s="267"/>
      <c r="AGR70" s="267"/>
      <c r="AGS70" s="267"/>
      <c r="AGT70" s="267"/>
      <c r="AGU70" s="267"/>
      <c r="AGV70" s="267"/>
      <c r="AGW70" s="267"/>
      <c r="AGX70" s="267"/>
      <c r="AGY70" s="267"/>
      <c r="AGZ70" s="267"/>
      <c r="AHA70" s="267"/>
      <c r="AHB70" s="267"/>
      <c r="AHC70" s="267"/>
      <c r="AHD70" s="267"/>
      <c r="AHE70" s="267"/>
      <c r="AHF70" s="267"/>
      <c r="AHG70" s="267"/>
      <c r="AHH70" s="267"/>
      <c r="AHI70" s="267"/>
      <c r="AHJ70" s="267"/>
      <c r="AHK70" s="267"/>
      <c r="AHL70" s="267"/>
      <c r="AHM70" s="267"/>
      <c r="AHN70" s="267"/>
      <c r="AHO70" s="267"/>
      <c r="AHP70" s="267"/>
      <c r="AHQ70" s="267"/>
      <c r="AHR70" s="267"/>
      <c r="AHS70" s="267"/>
      <c r="AHT70" s="267"/>
      <c r="AHU70" s="267"/>
      <c r="AHV70" s="267"/>
      <c r="AHW70" s="267"/>
      <c r="AHX70" s="267"/>
      <c r="AHY70" s="267"/>
      <c r="AHZ70" s="267"/>
      <c r="AIA70" s="267"/>
      <c r="AIB70" s="267"/>
      <c r="AIC70" s="267"/>
      <c r="AID70" s="267"/>
      <c r="AIE70" s="267"/>
      <c r="AIF70" s="267"/>
      <c r="AIG70" s="267"/>
      <c r="AIH70" s="267"/>
      <c r="AII70" s="180" t="s">
        <v>173</v>
      </c>
      <c r="AIJ70" s="478"/>
      <c r="AIK70" s="479"/>
      <c r="AIL70" s="317">
        <v>931</v>
      </c>
      <c r="AIM70" s="179">
        <v>0</v>
      </c>
      <c r="AIN70" s="134">
        <f>1500-447</f>
        <v>1053</v>
      </c>
      <c r="AIO70" s="134"/>
      <c r="AIP70" s="134"/>
      <c r="AJF70" s="70"/>
      <c r="AJH70" s="7"/>
      <c r="AJJ70" s="74"/>
      <c r="AJL70" s="74"/>
    </row>
    <row r="71" spans="504:950" ht="15.75" thickBot="1" x14ac:dyDescent="0.3">
      <c r="AII71" s="181" t="s">
        <v>174</v>
      </c>
      <c r="AIJ71" s="182" t="s">
        <v>172</v>
      </c>
      <c r="AIK71" s="183">
        <v>10131</v>
      </c>
      <c r="AIL71" s="201">
        <f>SUM(AIL69:AIL70)</f>
        <v>9169</v>
      </c>
      <c r="AIM71" s="203">
        <f>AIK71-AIL71</f>
        <v>962</v>
      </c>
      <c r="AIN71" s="134">
        <f>AIK71-AIL71</f>
        <v>962</v>
      </c>
      <c r="AIO71" s="134"/>
      <c r="AIP71" s="134"/>
      <c r="AJF71" s="70"/>
      <c r="AJH71" s="7"/>
      <c r="AJJ71" s="74"/>
      <c r="AJL71" s="74"/>
    </row>
    <row r="72" spans="504:950" ht="15.75" thickBot="1" x14ac:dyDescent="0.3">
      <c r="AII72" s="306" t="s">
        <v>82</v>
      </c>
      <c r="AIJ72" s="182" t="str">
        <f>AIQ9</f>
        <v>No of pallets</v>
      </c>
      <c r="AIK72" s="185">
        <v>1500</v>
      </c>
      <c r="AIL72" s="201">
        <f>'DATA Enter'!F9</f>
        <v>861</v>
      </c>
      <c r="AIM72" s="179">
        <f>IF(AIL72&gt;AIK72,0,(AIK72-AIL72))</f>
        <v>639</v>
      </c>
      <c r="AIN72" s="172">
        <f>AIK72-AIL72</f>
        <v>639</v>
      </c>
      <c r="AIO72" s="134"/>
      <c r="AJG72">
        <v>445</v>
      </c>
      <c r="AJH72" s="7">
        <v>309</v>
      </c>
      <c r="AJI72" s="50">
        <f>AJG72-AJH72</f>
        <v>136</v>
      </c>
      <c r="AJJ72" s="74" t="e">
        <f>#REF!/AJH72</f>
        <v>#REF!</v>
      </c>
      <c r="AJK72">
        <v>3.17</v>
      </c>
      <c r="AJL72" s="74" t="e">
        <f>AJJ72-AJK72</f>
        <v>#REF!</v>
      </c>
      <c r="AJM72" s="50"/>
      <c r="AJN72" s="50">
        <f>AJI72*AJK72</f>
        <v>431.12</v>
      </c>
    </row>
    <row r="73" spans="504:950" x14ac:dyDescent="0.25">
      <c r="AIL73" t="s">
        <v>76</v>
      </c>
    </row>
    <row r="74" spans="504:950" x14ac:dyDescent="0.25">
      <c r="AII74" t="s">
        <v>175</v>
      </c>
    </row>
    <row r="75" spans="504:950" x14ac:dyDescent="0.25">
      <c r="AII75" s="148" t="s">
        <v>176</v>
      </c>
    </row>
    <row r="76" spans="504:950" x14ac:dyDescent="0.25">
      <c r="AII76" s="148" t="s">
        <v>177</v>
      </c>
      <c r="AIM76" s="139"/>
    </row>
    <row r="77" spans="504:950" x14ac:dyDescent="0.25">
      <c r="AII77" t="s">
        <v>178</v>
      </c>
      <c r="AIL77" s="71"/>
      <c r="AIP77" s="71"/>
    </row>
    <row r="78" spans="504:950" x14ac:dyDescent="0.25">
      <c r="AIP78" s="71"/>
    </row>
    <row r="79" spans="504:950" x14ac:dyDescent="0.25">
      <c r="AIN79" s="137"/>
    </row>
    <row r="80" spans="504:950" ht="21.75" customHeight="1" x14ac:dyDescent="0.25">
      <c r="AII80" s="149" t="s">
        <v>179</v>
      </c>
      <c r="AIM80" s="135"/>
      <c r="AIN80" s="137"/>
      <c r="AIP80" s="138"/>
    </row>
    <row r="81" spans="919:936" ht="8.25" customHeight="1" x14ac:dyDescent="0.25">
      <c r="AIM81" s="136"/>
      <c r="AIP81" s="80"/>
    </row>
    <row r="82" spans="919:936" x14ac:dyDescent="0.25">
      <c r="AIJ82"/>
    </row>
    <row r="83" spans="919:936" ht="15.75" customHeight="1" x14ac:dyDescent="0.25">
      <c r="AIJ83"/>
      <c r="AIS83" s="50"/>
      <c r="AIW83"/>
      <c r="AIX83"/>
      <c r="AIY83"/>
      <c r="AIZ83"/>
    </row>
    <row r="84" spans="919:936" ht="27.75" customHeight="1" thickBot="1" x14ac:dyDescent="0.3">
      <c r="AII84" s="75" t="s">
        <v>151</v>
      </c>
      <c r="AIP84" s="471"/>
      <c r="AIQ84" s="471"/>
      <c r="AIS84" s="50"/>
      <c r="AIW84"/>
      <c r="AIX84"/>
      <c r="AIY84"/>
      <c r="AIZ84"/>
    </row>
    <row r="85" spans="919:936" ht="15" customHeight="1" thickBot="1" x14ac:dyDescent="0.3">
      <c r="AII85" s="505" t="s">
        <v>155</v>
      </c>
      <c r="AIJ85" s="505" t="s">
        <v>156</v>
      </c>
      <c r="AIK85" s="505" t="s">
        <v>157</v>
      </c>
      <c r="AIL85" s="505" t="s">
        <v>158</v>
      </c>
      <c r="AIM85" s="505" t="s">
        <v>159</v>
      </c>
      <c r="AIN85" s="505" t="s">
        <v>160</v>
      </c>
      <c r="AIO85" s="505" t="s">
        <v>161</v>
      </c>
      <c r="AIP85" s="472" t="s">
        <v>154</v>
      </c>
      <c r="AIQ85" s="473"/>
      <c r="AIS85" s="50"/>
      <c r="AIW85"/>
      <c r="AIX85"/>
      <c r="AIY85"/>
      <c r="AIZ85"/>
    </row>
    <row r="86" spans="919:936" ht="33.950000000000003" customHeight="1" thickBot="1" x14ac:dyDescent="0.3">
      <c r="AII86" s="506"/>
      <c r="AIJ86" s="506"/>
      <c r="AIK86" s="506"/>
      <c r="AIL86" s="506"/>
      <c r="AIM86" s="506"/>
      <c r="AIN86" s="506"/>
      <c r="AIO86" s="506"/>
      <c r="AIP86" s="204" t="s">
        <v>89</v>
      </c>
      <c r="AIQ86" s="205" t="s">
        <v>90</v>
      </c>
      <c r="AIR86" s="50"/>
      <c r="AIS86" s="50"/>
      <c r="AIW86"/>
      <c r="AIX86"/>
      <c r="AIY86"/>
      <c r="AIZ86"/>
    </row>
    <row r="87" spans="919:936" ht="15.75" thickBot="1" x14ac:dyDescent="0.3">
      <c r="AII87" s="304" t="s">
        <v>65</v>
      </c>
      <c r="AIJ87" s="207" t="s">
        <v>47</v>
      </c>
      <c r="AIK87" s="208">
        <f t="shared" ref="AIK87:AIQ87" si="19">AIK61</f>
        <v>21000</v>
      </c>
      <c r="AIL87" s="208">
        <f t="shared" si="19"/>
        <v>8773.6718999999994</v>
      </c>
      <c r="AIM87" s="210">
        <f t="shared" si="19"/>
        <v>12226.328100000001</v>
      </c>
      <c r="AIN87" s="210">
        <f t="shared" si="19"/>
        <v>630</v>
      </c>
      <c r="AIO87" s="210">
        <f t="shared" si="19"/>
        <v>11596.328100000001</v>
      </c>
      <c r="AIP87" s="212">
        <f t="shared" si="19"/>
        <v>1237195.135652459</v>
      </c>
      <c r="AIQ87" s="212">
        <f t="shared" si="19"/>
        <v>279832.70431475411</v>
      </c>
      <c r="AIR87" s="50"/>
      <c r="AIS87" s="50"/>
      <c r="AIW87"/>
      <c r="AIX87"/>
      <c r="AIY87"/>
      <c r="AIZ87"/>
    </row>
    <row r="88" spans="919:936" ht="15.75" thickBot="1" x14ac:dyDescent="0.3">
      <c r="AII88" s="304" t="s">
        <v>73</v>
      </c>
      <c r="AIJ88" s="207" t="s">
        <v>47</v>
      </c>
      <c r="AIK88" s="208">
        <f t="shared" ref="AIK88:AIQ88" si="20">AIK64</f>
        <v>7500</v>
      </c>
      <c r="AIL88" s="208">
        <f t="shared" si="20"/>
        <v>7676.0394999999999</v>
      </c>
      <c r="AIM88" s="210" t="str">
        <f t="shared" si="20"/>
        <v>0</v>
      </c>
      <c r="AIN88" s="210">
        <f t="shared" si="20"/>
        <v>225</v>
      </c>
      <c r="AIO88" s="210" t="str">
        <f t="shared" si="20"/>
        <v>0</v>
      </c>
      <c r="AIP88" s="212">
        <f t="shared" si="20"/>
        <v>0</v>
      </c>
      <c r="AIQ88" s="212">
        <f t="shared" si="20"/>
        <v>0</v>
      </c>
      <c r="AIR88" s="50"/>
      <c r="AIS88" s="50"/>
      <c r="AIW88"/>
      <c r="AIX88"/>
      <c r="AIY88"/>
      <c r="AIZ88"/>
    </row>
    <row r="89" spans="919:936" ht="15.75" thickBot="1" x14ac:dyDescent="0.3">
      <c r="AII89" s="304" t="s">
        <v>63</v>
      </c>
      <c r="AIJ89" s="207" t="s">
        <v>47</v>
      </c>
      <c r="AIK89" s="208">
        <f t="shared" ref="AIK89:AIQ91" si="21">AIK58</f>
        <v>10300</v>
      </c>
      <c r="AIL89" s="208">
        <f t="shared" si="21"/>
        <v>4837.7183473000014</v>
      </c>
      <c r="AIM89" s="210">
        <f t="shared" si="21"/>
        <v>5462.2816526999986</v>
      </c>
      <c r="AIN89" s="210">
        <f t="shared" si="21"/>
        <v>721.00000000000011</v>
      </c>
      <c r="AIO89" s="210">
        <f t="shared" si="21"/>
        <v>4741.2816526999986</v>
      </c>
      <c r="AIP89" s="212">
        <f t="shared" si="21"/>
        <v>453919.42379947525</v>
      </c>
      <c r="AIQ89" s="212">
        <f t="shared" si="21"/>
        <v>82855.840029150801</v>
      </c>
      <c r="AIR89" s="50"/>
      <c r="AIS89" s="50"/>
      <c r="AIW89"/>
      <c r="AIX89"/>
      <c r="AIY89"/>
      <c r="AIZ89"/>
    </row>
    <row r="90" spans="919:936" ht="15.75" thickBot="1" x14ac:dyDescent="0.3">
      <c r="AII90" s="304" t="s">
        <v>68</v>
      </c>
      <c r="AIJ90" s="207" t="s">
        <v>47</v>
      </c>
      <c r="AIK90" s="208">
        <f t="shared" si="21"/>
        <v>100</v>
      </c>
      <c r="AIL90" s="208">
        <f t="shared" si="21"/>
        <v>36.439366699999859</v>
      </c>
      <c r="AIM90" s="210">
        <f t="shared" si="21"/>
        <v>63.560633300000141</v>
      </c>
      <c r="AIN90" s="210">
        <f t="shared" si="21"/>
        <v>3</v>
      </c>
      <c r="AIO90" s="210">
        <f t="shared" si="21"/>
        <v>60.560633300000141</v>
      </c>
      <c r="AIP90" s="212">
        <f t="shared" si="21"/>
        <v>5797.9360405246034</v>
      </c>
      <c r="AIQ90" s="212">
        <f t="shared" si="21"/>
        <v>1058.3218868491829</v>
      </c>
      <c r="AIR90" s="50"/>
      <c r="AIS90" s="50"/>
      <c r="AIW90"/>
      <c r="AIX90"/>
      <c r="AIY90"/>
      <c r="AIZ90"/>
    </row>
    <row r="91" spans="919:936" ht="15.75" thickBot="1" x14ac:dyDescent="0.3">
      <c r="AII91" s="304" t="s">
        <v>64</v>
      </c>
      <c r="AIJ91" s="207" t="s">
        <v>47</v>
      </c>
      <c r="AIK91" s="208">
        <f t="shared" si="21"/>
        <v>10250</v>
      </c>
      <c r="AIL91" s="208">
        <f t="shared" si="21"/>
        <v>6155.6408999999994</v>
      </c>
      <c r="AIM91" s="210">
        <f t="shared" si="21"/>
        <v>4094.3591000000006</v>
      </c>
      <c r="AIN91" s="210">
        <f t="shared" si="21"/>
        <v>307.5</v>
      </c>
      <c r="AIO91" s="210">
        <f t="shared" si="21"/>
        <v>3786.8591000000006</v>
      </c>
      <c r="AIP91" s="212">
        <f t="shared" si="21"/>
        <v>309405.0123672132</v>
      </c>
      <c r="AIQ91" s="212">
        <f t="shared" si="21"/>
        <v>76978.775147541004</v>
      </c>
      <c r="AIR91" s="50"/>
      <c r="AIS91" s="50"/>
      <c r="AIW91"/>
      <c r="AIX91"/>
      <c r="AIY91"/>
      <c r="AIZ91"/>
    </row>
    <row r="92" spans="919:936" ht="15.75" thickBot="1" x14ac:dyDescent="0.3">
      <c r="AII92" s="305" t="s">
        <v>171</v>
      </c>
      <c r="AIJ92" s="206"/>
      <c r="AIK92" s="209">
        <f t="shared" ref="AIK92:AIQ92" si="22">SUM(AIK87:AIK91)</f>
        <v>49150</v>
      </c>
      <c r="AIL92" s="209">
        <f t="shared" si="22"/>
        <v>27479.510014</v>
      </c>
      <c r="AIM92" s="211">
        <f t="shared" si="22"/>
        <v>21846.529485999999</v>
      </c>
      <c r="AIN92" s="211">
        <f t="shared" si="22"/>
        <v>1886.5</v>
      </c>
      <c r="AIO92" s="211">
        <f t="shared" si="22"/>
        <v>20185.029485999999</v>
      </c>
      <c r="AIP92" s="211">
        <f t="shared" si="22"/>
        <v>2006317.507859672</v>
      </c>
      <c r="AIQ92" s="211">
        <f t="shared" si="22"/>
        <v>440725.64137829514</v>
      </c>
      <c r="AIR92" s="50"/>
      <c r="AIS92" s="50"/>
      <c r="AIW92"/>
      <c r="AIX92"/>
      <c r="AIY92"/>
      <c r="AIZ92"/>
    </row>
    <row r="93" spans="919:936" x14ac:dyDescent="0.25">
      <c r="AIJ93"/>
      <c r="AIR93" s="50"/>
      <c r="AIS93" s="50"/>
      <c r="AIW93"/>
      <c r="AIX93"/>
      <c r="AIY93"/>
      <c r="AIZ93"/>
    </row>
    <row r="94" spans="919:936" ht="30.75" hidden="1" thickBot="1" x14ac:dyDescent="0.3">
      <c r="AII94" s="349" t="s">
        <v>66</v>
      </c>
      <c r="AIJ94" s="350" t="s">
        <v>47</v>
      </c>
      <c r="AIK94" s="345">
        <v>1700</v>
      </c>
      <c r="AIL94" s="345">
        <f>AIK6</f>
        <v>0</v>
      </c>
      <c r="AIM94" s="345">
        <f>AIM62</f>
        <v>1700</v>
      </c>
      <c r="AIN94" s="345"/>
      <c r="AIO94" s="345"/>
      <c r="AIP94" s="346"/>
      <c r="AIQ94" s="347"/>
      <c r="AIR94" s="50"/>
      <c r="AIS94" s="50"/>
      <c r="AIW94"/>
      <c r="AIX94"/>
      <c r="AIY94"/>
      <c r="AIZ94"/>
    </row>
    <row r="95" spans="919:936" ht="30" x14ac:dyDescent="0.25">
      <c r="AII95" s="309" t="s">
        <v>67</v>
      </c>
      <c r="AIJ95" s="351" t="s">
        <v>47</v>
      </c>
      <c r="AIK95" s="352">
        <v>4300</v>
      </c>
      <c r="AIL95" s="352">
        <f>AIK7</f>
        <v>3114.8409999999999</v>
      </c>
      <c r="AIM95" s="352">
        <f>AIM63</f>
        <v>1185.1590000000001</v>
      </c>
      <c r="AIN95" s="229"/>
      <c r="AIO95" s="229"/>
      <c r="AIP95" s="231"/>
      <c r="AIQ95" s="231"/>
      <c r="AIR95" s="50"/>
      <c r="AIS95" s="50"/>
      <c r="AIW95"/>
      <c r="AIX95"/>
      <c r="AIY95"/>
      <c r="AIZ95"/>
    </row>
    <row r="96" spans="919:936" x14ac:dyDescent="0.25">
      <c r="AIJ96"/>
    </row>
    <row r="97" spans="569:938" x14ac:dyDescent="0.25">
      <c r="AIJ97"/>
    </row>
    <row r="98" spans="569:938" x14ac:dyDescent="0.25">
      <c r="UW98" s="194" t="s">
        <v>70</v>
      </c>
      <c r="UX98" t="s">
        <v>77</v>
      </c>
      <c r="AIJ98"/>
    </row>
    <row r="99" spans="569:938" x14ac:dyDescent="0.25">
      <c r="UW99" s="17" t="s">
        <v>65</v>
      </c>
      <c r="UX99">
        <v>11596.328100000001</v>
      </c>
      <c r="AII99" s="302" t="s">
        <v>180</v>
      </c>
      <c r="AIJ99"/>
    </row>
    <row r="100" spans="569:938" x14ac:dyDescent="0.25">
      <c r="UW100" s="17" t="s">
        <v>73</v>
      </c>
      <c r="UX100">
        <v>0</v>
      </c>
    </row>
    <row r="101" spans="569:938" ht="74.25" customHeight="1" x14ac:dyDescent="0.25">
      <c r="UW101" s="17" t="s">
        <v>63</v>
      </c>
      <c r="UX101">
        <v>4741.2816526999986</v>
      </c>
      <c r="AII101" s="254" t="s">
        <v>155</v>
      </c>
      <c r="AIJ101" s="246" t="s">
        <v>181</v>
      </c>
      <c r="AIK101" s="247" t="s">
        <v>182</v>
      </c>
      <c r="AIL101" s="247" t="s">
        <v>183</v>
      </c>
      <c r="AIM101" s="247" t="s">
        <v>184</v>
      </c>
      <c r="AIN101" s="246" t="s">
        <v>185</v>
      </c>
      <c r="AJA101" s="50"/>
      <c r="AJB101" s="52"/>
    </row>
    <row r="102" spans="569:938" ht="16.5" customHeight="1" x14ac:dyDescent="0.25">
      <c r="UW102" s="17" t="s">
        <v>64</v>
      </c>
      <c r="UX102">
        <v>3786.8591000000006</v>
      </c>
      <c r="AII102" s="245" t="s">
        <v>186</v>
      </c>
      <c r="AIJ102" s="248">
        <f>'[1]Ageing-EGF'!$I$2</f>
        <v>2894.76</v>
      </c>
      <c r="AIK102" s="249">
        <f>AIL87</f>
        <v>8773.6718999999994</v>
      </c>
      <c r="AIL102" s="250">
        <f>AIJ102/AIK102</f>
        <v>0.329937115610626</v>
      </c>
      <c r="AIM102" s="253">
        <f>'100% Occupancy'!C18</f>
        <v>0.44779389999999997</v>
      </c>
      <c r="AIN102" s="270">
        <f>AIO87</f>
        <v>11596.328100000001</v>
      </c>
      <c r="AIO102" s="172"/>
    </row>
    <row r="103" spans="569:938" x14ac:dyDescent="0.25">
      <c r="UW103" s="17" t="s">
        <v>68</v>
      </c>
      <c r="UX103">
        <v>60.560633300000141</v>
      </c>
      <c r="AII103" s="245" t="s">
        <v>73</v>
      </c>
      <c r="AIJ103" s="248">
        <f>'[1]Ageing-KFC'!$I$3</f>
        <v>1923.35</v>
      </c>
      <c r="AIK103" s="249">
        <f>AIL88</f>
        <v>7676.0394999999999</v>
      </c>
      <c r="AIL103" s="250">
        <f>AIJ103/AIK103</f>
        <v>0.25056541202009186</v>
      </c>
      <c r="AIM103" s="253">
        <f>'100% Occupancy'!C21</f>
        <v>1</v>
      </c>
      <c r="AIN103" s="270" t="str">
        <f>AIO88</f>
        <v>0</v>
      </c>
      <c r="AIO103" s="172"/>
    </row>
    <row r="104" spans="569:938" x14ac:dyDescent="0.25">
      <c r="UW104" s="17" t="s">
        <v>88</v>
      </c>
      <c r="AII104" s="245" t="s">
        <v>63</v>
      </c>
      <c r="AIJ104" s="343">
        <f>'[1]Ageing-OFC'!$I$2</f>
        <v>713.9</v>
      </c>
      <c r="AIK104" s="249">
        <f>AIL89</f>
        <v>4837.7183473000014</v>
      </c>
      <c r="AIL104" s="250">
        <f>AIJ104/AIK104</f>
        <v>0.14756956663226117</v>
      </c>
      <c r="AIM104" s="253">
        <f>'100% Occupancy'!C15</f>
        <v>0.53968139294174766</v>
      </c>
      <c r="AIN104" s="270">
        <f>AIO89</f>
        <v>4741.2816526999986</v>
      </c>
      <c r="AIO104" s="172"/>
    </row>
    <row r="105" spans="569:938" x14ac:dyDescent="0.25">
      <c r="UW105" s="17" t="s">
        <v>74</v>
      </c>
      <c r="UX105">
        <v>20185.029485999999</v>
      </c>
      <c r="AII105" s="245" t="s">
        <v>64</v>
      </c>
      <c r="AIJ105" s="248">
        <f>'[1]Ageing-PFC'!$I$2</f>
        <v>1070.1400000000001</v>
      </c>
      <c r="AIK105" s="249">
        <f>AIL91</f>
        <v>6155.6408999999994</v>
      </c>
      <c r="AIL105" s="250">
        <f>AIJ105/AIK105</f>
        <v>0.1738470481603305</v>
      </c>
      <c r="AIM105" s="253">
        <f>'100% Occupancy'!$C$17</f>
        <v>0.630550331707317</v>
      </c>
      <c r="AIN105" s="270">
        <f>AIO91</f>
        <v>3786.8591000000006</v>
      </c>
      <c r="AIO105" s="172"/>
    </row>
    <row r="107" spans="569:938" ht="30" hidden="1" x14ac:dyDescent="0.25">
      <c r="AII107" s="275" t="s">
        <v>66</v>
      </c>
      <c r="AIJ107" s="248">
        <v>57</v>
      </c>
      <c r="AIK107" s="249">
        <f>AIK6</f>
        <v>0</v>
      </c>
      <c r="AIL107" s="250" t="e">
        <f>AIJ107/AIK107</f>
        <v>#DIV/0!</v>
      </c>
      <c r="AIM107" s="253">
        <f>'100% Occupancy'!$C$19</f>
        <v>0.03</v>
      </c>
      <c r="AIN107" s="270">
        <f>AIO93</f>
        <v>0</v>
      </c>
    </row>
    <row r="109" spans="569:938" ht="15.75" thickBot="1" x14ac:dyDescent="0.3">
      <c r="AII109" s="302" t="s">
        <v>187</v>
      </c>
      <c r="AIJ109" s="251"/>
      <c r="AIK109" s="251"/>
      <c r="AIL109" s="252"/>
      <c r="AIM109" s="251"/>
      <c r="AIN109" s="251"/>
    </row>
    <row r="110" spans="569:938" ht="30.75" thickBot="1" x14ac:dyDescent="0.3">
      <c r="AII110" s="255" t="s">
        <v>155</v>
      </c>
      <c r="AIJ110" s="256" t="s">
        <v>188</v>
      </c>
      <c r="AIK110" s="257" t="s">
        <v>181</v>
      </c>
      <c r="AIL110" s="256" t="s">
        <v>189</v>
      </c>
      <c r="AIM110" s="258" t="s">
        <v>190</v>
      </c>
    </row>
    <row r="111" spans="569:938" ht="30.75" thickBot="1" x14ac:dyDescent="0.3">
      <c r="AII111" s="500" t="s">
        <v>186</v>
      </c>
      <c r="AIJ111" s="259" t="str">
        <f>'[1]Age-Sum'!$C$2</f>
        <v>HIRDARAMANI GARMENTS</v>
      </c>
      <c r="AIK111" s="260">
        <f>'[1]Age-Sum'!D2</f>
        <v>800.04</v>
      </c>
      <c r="AIL111" s="260" t="str">
        <f>'[1]Age-Sum'!E2</f>
        <v>2915.68</v>
      </c>
      <c r="AIM111" s="261">
        <f t="shared" ref="AIM111:AIM121" si="23">AIK111/AIL111</f>
        <v>0.27439225155023872</v>
      </c>
    </row>
    <row r="112" spans="569:938" ht="30.75" thickBot="1" x14ac:dyDescent="0.3">
      <c r="AII112" s="501"/>
      <c r="AIJ112" s="259" t="str">
        <f>'[1]Age-Sum'!$C$3</f>
        <v>VICUNHA EUROPE S.A.R.L</v>
      </c>
      <c r="AIK112" s="260">
        <f>'[1]Age-Sum'!D3</f>
        <v>775.62</v>
      </c>
      <c r="AIL112" s="260" t="str">
        <f>'[1]Age-Sum'!E3</f>
        <v>1359.78</v>
      </c>
      <c r="AIM112" s="261">
        <f t="shared" si="23"/>
        <v>0.57040109429466535</v>
      </c>
      <c r="AIO112" s="263"/>
    </row>
    <row r="113" spans="919:932" ht="15.75" thickBot="1" x14ac:dyDescent="0.3">
      <c r="AII113" s="504"/>
      <c r="AIJ113" s="259" t="str">
        <f>'[1]Age-Sum'!$C$4</f>
        <v>OMEGA LINE LTD</v>
      </c>
      <c r="AIK113" s="260">
        <f>'[1]Age-Sum'!D4</f>
        <v>322.33999999999997</v>
      </c>
      <c r="AIL113" s="260" t="str">
        <f>'[1]Age-Sum'!E4</f>
        <v>1485.93</v>
      </c>
      <c r="AIM113" s="261">
        <f t="shared" si="23"/>
        <v>0.21692811909040127</v>
      </c>
      <c r="AIO113" s="263"/>
    </row>
    <row r="114" spans="919:932" ht="15.75" thickBot="1" x14ac:dyDescent="0.3">
      <c r="AII114" s="500" t="s">
        <v>73</v>
      </c>
      <c r="AIJ114" s="259" t="str">
        <f>'[1]Age-Sum'!$C$5</f>
        <v>MAS KREEDA</v>
      </c>
      <c r="AIK114" s="260">
        <f>'[1]Age-Sum'!D5</f>
        <v>1923.35</v>
      </c>
      <c r="AIL114" s="260" t="str">
        <f>'[1]Age-Sum'!E5</f>
        <v>7089.65</v>
      </c>
      <c r="AIM114" s="261">
        <f t="shared" si="23"/>
        <v>0.27128983800328649</v>
      </c>
    </row>
    <row r="115" spans="919:932" ht="15.75" thickBot="1" x14ac:dyDescent="0.3">
      <c r="AII115" s="504"/>
      <c r="AIJ115" s="259" t="str">
        <f>'[1]Age-Sum'!$C$6</f>
        <v>EDOTCO</v>
      </c>
      <c r="AIK115" s="260">
        <f>'[1]Age-Sum'!D6</f>
        <v>209.13</v>
      </c>
      <c r="AIL115" s="260" t="str">
        <f>'[1]Age-Sum'!E6</f>
        <v>209.13</v>
      </c>
      <c r="AIM115" s="261">
        <f t="shared" si="23"/>
        <v>1</v>
      </c>
      <c r="AIV115" s="53"/>
    </row>
    <row r="116" spans="919:932" ht="15.75" thickBot="1" x14ac:dyDescent="0.3">
      <c r="AII116" s="500" t="s">
        <v>63</v>
      </c>
      <c r="AIJ116" s="259" t="str">
        <f>'[1]Age-Sum'!$C$7</f>
        <v>HEMAS</v>
      </c>
      <c r="AIK116" s="260">
        <f>'[1]Age-Sum'!D7</f>
        <v>271.58</v>
      </c>
      <c r="AIL116" s="260" t="str">
        <f>'[1]Age-Sum'!E7</f>
        <v>899.42</v>
      </c>
      <c r="AIM116" s="261">
        <f t="shared" si="23"/>
        <v>0.30195014564941852</v>
      </c>
    </row>
    <row r="117" spans="919:932" ht="15.75" thickBot="1" x14ac:dyDescent="0.3">
      <c r="AII117" s="501"/>
      <c r="AIJ117" s="259" t="str">
        <f>'[1]Age-Sum'!$C$8</f>
        <v xml:space="preserve">MILLENNIUM I.T.E.S.P </v>
      </c>
      <c r="AIK117" s="260">
        <f>'[1]Age-Sum'!D8</f>
        <v>121.23</v>
      </c>
      <c r="AIL117" s="260" t="str">
        <f>'[1]Age-Sum'!E8</f>
        <v>147.12</v>
      </c>
      <c r="AIM117" s="261">
        <f t="shared" si="23"/>
        <v>0.82402120717781402</v>
      </c>
      <c r="AIO117" s="263"/>
      <c r="AIP117" s="263"/>
      <c r="AIQ117" s="274"/>
    </row>
    <row r="118" spans="919:932" ht="15.75" thickBot="1" x14ac:dyDescent="0.3">
      <c r="AII118" s="504"/>
      <c r="AIJ118" s="259" t="str">
        <f>'[1]Age-Sum'!$C$9</f>
        <v>LINEA AQUA</v>
      </c>
      <c r="AIK118" s="260">
        <f>'[1]Age-Sum'!D9</f>
        <v>68.63</v>
      </c>
      <c r="AIL118" s="260" t="str">
        <f>'[1]Age-Sum'!E9</f>
        <v>447.85</v>
      </c>
      <c r="AIM118" s="261">
        <f t="shared" si="23"/>
        <v>0.15324327341743885</v>
      </c>
      <c r="AIO118" s="263"/>
    </row>
    <row r="119" spans="919:932" ht="15.75" thickBot="1" x14ac:dyDescent="0.3">
      <c r="AII119" s="500" t="s">
        <v>64</v>
      </c>
      <c r="AIJ119" s="259" t="str">
        <f>'[1]Age-Sum'!$C$10</f>
        <v>MAS KREEDA</v>
      </c>
      <c r="AIK119" s="260">
        <f>'[1]Age-Sum'!D10</f>
        <v>281.5</v>
      </c>
      <c r="AIL119" s="260" t="str">
        <f>'[1]Age-Sum'!E10</f>
        <v>2649.22</v>
      </c>
      <c r="AIM119" s="261">
        <f t="shared" si="23"/>
        <v>0.10625769094299455</v>
      </c>
      <c r="AIO119" s="263"/>
      <c r="AIP119" s="274"/>
      <c r="AIQ119" s="274"/>
    </row>
    <row r="120" spans="919:932" ht="15.75" thickBot="1" x14ac:dyDescent="0.3">
      <c r="AII120" s="501"/>
      <c r="AIJ120" s="259" t="str">
        <f>'[1]Age-Sum'!$C$11</f>
        <v>MAS KREEDA</v>
      </c>
      <c r="AIK120" s="260">
        <f>'[1]Age-Sum'!D11</f>
        <v>182.02</v>
      </c>
      <c r="AIL120" s="260" t="str">
        <f>'[1]Age-Sum'!E11</f>
        <v>247.18</v>
      </c>
      <c r="AIM120" s="261">
        <f t="shared" si="23"/>
        <v>0.73638643903228418</v>
      </c>
      <c r="AIP120" s="263"/>
    </row>
    <row r="121" spans="919:932" ht="15.75" thickBot="1" x14ac:dyDescent="0.3">
      <c r="AII121" s="504"/>
      <c r="AIJ121" s="259" t="str">
        <f>'[1]Age-Sum'!$C$12</f>
        <v>MAS ACTIVE</v>
      </c>
      <c r="AIK121" s="260">
        <f>'[1]Age-Sum'!D12</f>
        <v>148.12</v>
      </c>
      <c r="AIL121" s="260" t="str">
        <f>'[1]Age-Sum'!E12</f>
        <v>1417.10</v>
      </c>
      <c r="AIM121" s="261">
        <f t="shared" si="23"/>
        <v>0.10452332227789148</v>
      </c>
    </row>
    <row r="122" spans="919:932" x14ac:dyDescent="0.25">
      <c r="AII122" s="262"/>
      <c r="AIJ122" s="263"/>
      <c r="AIK122" s="264"/>
      <c r="AIL122" s="264"/>
      <c r="AIM122" s="265"/>
    </row>
    <row r="123" spans="919:932" x14ac:dyDescent="0.25">
      <c r="AII123" s="262"/>
      <c r="AIJ123" s="263"/>
      <c r="AIK123" s="264"/>
      <c r="AIL123" s="264"/>
      <c r="AIM123" s="265"/>
    </row>
    <row r="124" spans="919:932" x14ac:dyDescent="0.25">
      <c r="AII124" t="s">
        <v>201</v>
      </c>
    </row>
    <row r="125" spans="919:932" ht="15.75" thickBot="1" x14ac:dyDescent="0.3">
      <c r="AII125" s="15" t="s">
        <v>202</v>
      </c>
      <c r="AIJ125" s="112"/>
      <c r="AIK125" s="63"/>
      <c r="AIL125" s="51"/>
      <c r="AIM125" s="50"/>
    </row>
    <row r="126" spans="919:932" ht="39" thickBot="1" x14ac:dyDescent="0.3">
      <c r="AII126" s="465" t="s">
        <v>1</v>
      </c>
      <c r="AIJ126" s="466"/>
      <c r="AIK126" s="467"/>
      <c r="AIL126" s="55" t="s">
        <v>203</v>
      </c>
      <c r="AIM126" s="56" t="s">
        <v>204</v>
      </c>
    </row>
    <row r="127" spans="919:932" x14ac:dyDescent="0.25">
      <c r="AII127" s="468" t="s">
        <v>205</v>
      </c>
      <c r="AIJ127" s="469"/>
      <c r="AIK127" s="470"/>
      <c r="AIL127" s="64">
        <v>1000</v>
      </c>
      <c r="AIM127" s="65">
        <v>850</v>
      </c>
    </row>
    <row r="128" spans="919:932" x14ac:dyDescent="0.25">
      <c r="AII128" s="455" t="s">
        <v>206</v>
      </c>
      <c r="AIJ128" s="456"/>
      <c r="AIK128" s="457"/>
      <c r="AIL128" s="66">
        <v>4986</v>
      </c>
      <c r="AIM128" s="67">
        <v>1650</v>
      </c>
      <c r="AIN128" s="72"/>
    </row>
    <row r="129" spans="919:923" x14ac:dyDescent="0.25">
      <c r="AII129" s="455" t="s">
        <v>207</v>
      </c>
      <c r="AIJ129" s="456"/>
      <c r="AIK129" s="457"/>
      <c r="AIL129" s="66">
        <v>400</v>
      </c>
      <c r="AIM129" s="67">
        <f>AIL129</f>
        <v>400</v>
      </c>
    </row>
    <row r="130" spans="919:923" x14ac:dyDescent="0.25">
      <c r="AII130" s="455" t="s">
        <v>208</v>
      </c>
      <c r="AIJ130" s="456"/>
      <c r="AIK130" s="457"/>
      <c r="AIL130" s="66">
        <v>200</v>
      </c>
      <c r="AIM130" s="67">
        <f>AIL130</f>
        <v>200</v>
      </c>
    </row>
    <row r="131" spans="919:923" ht="15.75" thickBot="1" x14ac:dyDescent="0.3">
      <c r="AII131" s="458" t="s">
        <v>209</v>
      </c>
      <c r="AIJ131" s="459"/>
      <c r="AIK131" s="460"/>
      <c r="AIL131" s="68">
        <v>500</v>
      </c>
      <c r="AIM131" s="69">
        <f>AIL131</f>
        <v>500</v>
      </c>
    </row>
    <row r="132" spans="919:923" ht="15.75" thickBot="1" x14ac:dyDescent="0.3">
      <c r="AII132" s="386" t="s">
        <v>210</v>
      </c>
      <c r="AIJ132" s="387"/>
      <c r="AIK132" s="388"/>
      <c r="AIL132" s="385"/>
      <c r="AIM132" s="61">
        <f>SUM(AIM127:AIM131)</f>
        <v>3600</v>
      </c>
    </row>
    <row r="161" spans="920:926" ht="15.75" thickBot="1" x14ac:dyDescent="0.3">
      <c r="AIJ161" s="217" t="s">
        <v>155</v>
      </c>
      <c r="AIK161" s="7" t="s">
        <v>156</v>
      </c>
      <c r="AIL161" s="7" t="s">
        <v>157</v>
      </c>
      <c r="AIM161" s="7" t="s">
        <v>158</v>
      </c>
      <c r="AIN161" s="7" t="s">
        <v>159</v>
      </c>
      <c r="AIO161" s="7" t="s">
        <v>160</v>
      </c>
      <c r="AIP161" s="7" t="s">
        <v>161</v>
      </c>
    </row>
    <row r="162" spans="920:926" ht="15.75" thickBot="1" x14ac:dyDescent="0.3">
      <c r="AIJ162" s="217" t="s">
        <v>65</v>
      </c>
      <c r="AIK162" s="7" t="s">
        <v>47</v>
      </c>
      <c r="AIL162" s="208">
        <v>18000</v>
      </c>
      <c r="AIM162" s="208">
        <v>19286.8102</v>
      </c>
      <c r="AIN162" s="207">
        <v>0</v>
      </c>
      <c r="AIO162" s="208">
        <v>900</v>
      </c>
      <c r="AIP162" s="207">
        <v>0</v>
      </c>
    </row>
    <row r="163" spans="920:926" ht="15.75" thickBot="1" x14ac:dyDescent="0.3">
      <c r="AIJ163" s="217" t="s">
        <v>73</v>
      </c>
      <c r="AIK163" s="7" t="s">
        <v>47</v>
      </c>
      <c r="AIL163" s="208">
        <v>7500</v>
      </c>
      <c r="AIM163" s="208">
        <v>8187.0985000000001</v>
      </c>
      <c r="AIN163" s="207">
        <v>0</v>
      </c>
      <c r="AIO163" s="208">
        <v>375</v>
      </c>
      <c r="AIP163" s="207">
        <v>0</v>
      </c>
    </row>
    <row r="164" spans="920:926" ht="15.75" thickBot="1" x14ac:dyDescent="0.3">
      <c r="AIJ164" s="217" t="s">
        <v>63</v>
      </c>
      <c r="AIK164" s="7" t="s">
        <v>47</v>
      </c>
      <c r="AIL164" s="208">
        <v>9500</v>
      </c>
      <c r="AIM164" s="208">
        <v>8735.1530000000021</v>
      </c>
      <c r="AIN164" s="208">
        <v>764.84699999999793</v>
      </c>
      <c r="AIO164" s="208">
        <v>764.84699999999793</v>
      </c>
      <c r="AIP164" s="207">
        <v>0</v>
      </c>
    </row>
    <row r="165" spans="920:926" ht="15.75" thickBot="1" x14ac:dyDescent="0.3">
      <c r="AIJ165" s="217" t="s">
        <v>64</v>
      </c>
      <c r="AIK165" s="7" t="s">
        <v>47</v>
      </c>
      <c r="AIL165" s="208">
        <v>9500</v>
      </c>
      <c r="AIM165" s="208">
        <v>9383.5158999999985</v>
      </c>
      <c r="AIN165" s="208">
        <v>116.48410000000149</v>
      </c>
      <c r="AIO165" s="208">
        <v>116.48410000000149</v>
      </c>
      <c r="AIP165" s="207">
        <v>0</v>
      </c>
    </row>
  </sheetData>
  <mergeCells count="24">
    <mergeCell ref="JX1:JX14"/>
    <mergeCell ref="AIJ69:AIJ70"/>
    <mergeCell ref="AIK69:AIK70"/>
    <mergeCell ref="AIP55:AIQ55"/>
    <mergeCell ref="AIP56:AIQ56"/>
    <mergeCell ref="AII111:AII113"/>
    <mergeCell ref="AII114:AII115"/>
    <mergeCell ref="AII116:AII118"/>
    <mergeCell ref="AIM85:AIM86"/>
    <mergeCell ref="AIN85:AIN86"/>
    <mergeCell ref="AIJ85:AIJ86"/>
    <mergeCell ref="AII85:AII86"/>
    <mergeCell ref="AIO85:AIO86"/>
    <mergeCell ref="AIP84:AIQ84"/>
    <mergeCell ref="AIP85:AIQ85"/>
    <mergeCell ref="AIL85:AIL86"/>
    <mergeCell ref="AIK85:AIK86"/>
    <mergeCell ref="AII119:AII121"/>
    <mergeCell ref="AII131:AIK131"/>
    <mergeCell ref="AII126:AIK126"/>
    <mergeCell ref="AII130:AIK130"/>
    <mergeCell ref="AII129:AIK129"/>
    <mergeCell ref="AII128:AIK128"/>
    <mergeCell ref="AII127:AIK127"/>
  </mergeCells>
  <conditionalFormatting sqref="DV3:JW3">
    <cfRule type="cellIs" dxfId="16" priority="81" operator="greaterThan">
      <formula>8500</formula>
    </cfRule>
  </conditionalFormatting>
  <conditionalFormatting sqref="GI20:GI47">
    <cfRule type="cellIs" dxfId="15" priority="110" operator="greaterThan">
      <formula>8500</formula>
    </cfRule>
  </conditionalFormatting>
  <conditionalFormatting sqref="KC3:KK3">
    <cfRule type="cellIs" dxfId="14" priority="189" operator="greaterThan">
      <formula>8500</formula>
    </cfRule>
  </conditionalFormatting>
  <conditionalFormatting sqref="KM3:KU3">
    <cfRule type="cellIs" dxfId="13" priority="14" operator="greaterThan">
      <formula>8500</formula>
    </cfRule>
  </conditionalFormatting>
  <pageMargins left="0.7" right="0.7" top="0.75" bottom="0.75" header="0.3" footer="0.3"/>
  <pageSetup paperSize="9" orientation="portrait" r:id="rId2"/>
  <drawing r:id="rId3"/>
  <legacyDrawing r:id="rId4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6">
    <tabColor rgb="FFFFC000"/>
  </sheetPr>
  <dimension ref="A1:WE107"/>
  <sheetViews>
    <sheetView showGridLines="0" topLeftCell="UO54" zoomScale="86" zoomScaleNormal="86" workbookViewId="0">
      <selection activeCell="UY59" sqref="UY59"/>
    </sheetView>
  </sheetViews>
  <sheetFormatPr defaultColWidth="8.7109375" defaultRowHeight="15" x14ac:dyDescent="0.25"/>
  <cols>
    <col min="1" max="1" width="13.28515625" customWidth="1"/>
    <col min="2" max="2" width="13.140625" style="3" customWidth="1"/>
    <col min="3" max="3" width="11.85546875" bestFit="1" customWidth="1"/>
    <col min="4" max="4" width="12.42578125" customWidth="1"/>
    <col min="5" max="5" width="11.85546875" bestFit="1" customWidth="1"/>
    <col min="6" max="6" width="12.85546875" customWidth="1"/>
    <col min="7" max="11" width="11.28515625" bestFit="1" customWidth="1"/>
    <col min="12" max="12" width="12.42578125" bestFit="1" customWidth="1"/>
    <col min="13" max="17" width="11.85546875" bestFit="1" customWidth="1"/>
    <col min="18" max="18" width="11.85546875" customWidth="1"/>
    <col min="19" max="19" width="13.42578125" customWidth="1"/>
    <col min="20" max="22" width="12.42578125" bestFit="1" customWidth="1"/>
    <col min="23" max="141" width="11.85546875" customWidth="1"/>
    <col min="142" max="168" width="12" customWidth="1"/>
    <col min="169" max="169" width="13.5703125" bestFit="1" customWidth="1"/>
    <col min="170" max="187" width="13.5703125" customWidth="1"/>
    <col min="188" max="283" width="13.7109375" customWidth="1"/>
    <col min="284" max="284" width="4.85546875" customWidth="1"/>
    <col min="285" max="285" width="13.7109375" customWidth="1"/>
    <col min="286" max="287" width="4.85546875" customWidth="1"/>
    <col min="288" max="288" width="12.85546875" customWidth="1"/>
    <col min="289" max="289" width="13.7109375" customWidth="1"/>
    <col min="290" max="343" width="15.42578125" customWidth="1"/>
    <col min="344" max="405" width="15.85546875" customWidth="1"/>
    <col min="406" max="412" width="15.42578125" customWidth="1"/>
    <col min="413" max="413" width="11" customWidth="1"/>
    <col min="414" max="414" width="10.85546875" bestFit="1" customWidth="1"/>
    <col min="415" max="565" width="10.85546875" customWidth="1"/>
    <col min="566" max="566" width="16.5703125" customWidth="1"/>
    <col min="567" max="567" width="15.85546875" style="111" customWidth="1"/>
    <col min="568" max="568" width="13.28515625" customWidth="1"/>
    <col min="569" max="569" width="17.28515625" customWidth="1"/>
    <col min="570" max="570" width="16.85546875" customWidth="1"/>
    <col min="571" max="571" width="13.85546875" customWidth="1"/>
    <col min="572" max="572" width="14.140625" customWidth="1"/>
    <col min="573" max="574" width="14" customWidth="1"/>
    <col min="575" max="575" width="9.28515625" customWidth="1"/>
    <col min="577" max="577" width="21.28515625" bestFit="1" customWidth="1"/>
    <col min="578" max="578" width="14.5703125" customWidth="1"/>
    <col min="579" max="580" width="16.42578125" customWidth="1"/>
    <col min="581" max="583" width="16.85546875" style="50" customWidth="1"/>
    <col min="584" max="584" width="16.42578125" style="50" customWidth="1"/>
    <col min="585" max="585" width="9.140625" customWidth="1"/>
    <col min="587" max="587" width="19.85546875" customWidth="1"/>
  </cols>
  <sheetData>
    <row r="1" spans="1:603" s="4" customFormat="1" ht="27" customHeight="1" x14ac:dyDescent="0.25">
      <c r="A1" s="5" t="s">
        <v>44</v>
      </c>
      <c r="B1" s="5"/>
      <c r="C1" s="5" t="s">
        <v>45</v>
      </c>
      <c r="D1" s="5" t="s">
        <v>95</v>
      </c>
      <c r="E1" s="5" t="s">
        <v>96</v>
      </c>
      <c r="F1" s="11">
        <v>43111</v>
      </c>
      <c r="G1" s="11">
        <v>43231</v>
      </c>
      <c r="H1" s="11">
        <v>43262</v>
      </c>
      <c r="I1" s="11">
        <v>43292</v>
      </c>
      <c r="J1" s="11">
        <v>43323</v>
      </c>
      <c r="K1" s="11">
        <v>43354</v>
      </c>
      <c r="L1" s="11">
        <v>43445</v>
      </c>
      <c r="M1" s="11" t="s">
        <v>97</v>
      </c>
      <c r="N1" s="11" t="s">
        <v>98</v>
      </c>
      <c r="O1" s="11" t="s">
        <v>99</v>
      </c>
      <c r="P1" s="11" t="s">
        <v>100</v>
      </c>
      <c r="Q1" s="11" t="s">
        <v>101</v>
      </c>
      <c r="R1" s="11" t="s">
        <v>102</v>
      </c>
      <c r="S1" s="11">
        <v>43431</v>
      </c>
      <c r="T1" s="11">
        <v>43432</v>
      </c>
      <c r="U1" s="11">
        <v>43433</v>
      </c>
      <c r="V1" s="11">
        <v>43434</v>
      </c>
      <c r="W1" s="11">
        <v>43435</v>
      </c>
      <c r="X1" s="11">
        <v>43436</v>
      </c>
      <c r="Y1" s="11">
        <v>43437</v>
      </c>
      <c r="Z1" s="11">
        <v>43438</v>
      </c>
      <c r="AA1" s="11">
        <v>43439</v>
      </c>
      <c r="AB1" s="11">
        <v>43440</v>
      </c>
      <c r="AC1" s="11">
        <v>43443</v>
      </c>
      <c r="AD1" s="11">
        <v>43444</v>
      </c>
      <c r="AE1" s="11">
        <v>43445</v>
      </c>
      <c r="AF1" s="11">
        <v>43447</v>
      </c>
      <c r="AG1" s="11">
        <v>43451</v>
      </c>
      <c r="AH1" s="11">
        <v>43453</v>
      </c>
      <c r="AI1" s="11">
        <v>43454</v>
      </c>
      <c r="AJ1" s="11">
        <v>43461</v>
      </c>
      <c r="AK1" s="11">
        <v>43462</v>
      </c>
      <c r="AL1" s="11">
        <v>43102</v>
      </c>
      <c r="AM1" s="11">
        <v>43104</v>
      </c>
      <c r="AN1" s="11">
        <v>43472</v>
      </c>
      <c r="AO1" s="11">
        <v>43473</v>
      </c>
      <c r="AP1" s="11">
        <v>43474</v>
      </c>
      <c r="AQ1" s="11">
        <v>43475</v>
      </c>
      <c r="AR1" s="11">
        <v>43476</v>
      </c>
      <c r="AS1" s="11">
        <v>43479</v>
      </c>
      <c r="AT1" s="11">
        <v>43481</v>
      </c>
      <c r="AU1" s="11">
        <v>43483</v>
      </c>
      <c r="AV1" s="11">
        <v>43486</v>
      </c>
      <c r="AW1" s="11">
        <v>43487</v>
      </c>
      <c r="AX1" s="11">
        <v>43489</v>
      </c>
      <c r="AY1" s="11">
        <v>43490</v>
      </c>
      <c r="AZ1" s="11">
        <v>43494</v>
      </c>
      <c r="BA1" s="11">
        <v>43495</v>
      </c>
      <c r="BB1" s="11">
        <v>43496</v>
      </c>
      <c r="BC1" s="11">
        <v>43497</v>
      </c>
      <c r="BD1" s="11">
        <v>43501</v>
      </c>
      <c r="BE1" s="11">
        <v>43502</v>
      </c>
      <c r="BF1" s="11">
        <v>43503</v>
      </c>
      <c r="BG1" s="11">
        <v>43504</v>
      </c>
      <c r="BH1" s="11">
        <v>43506</v>
      </c>
      <c r="BI1" s="11">
        <v>43509</v>
      </c>
      <c r="BJ1" s="11">
        <v>43510</v>
      </c>
      <c r="BK1" s="11">
        <v>43511</v>
      </c>
      <c r="BL1" s="11">
        <v>43514</v>
      </c>
      <c r="BM1" s="11">
        <v>43516</v>
      </c>
      <c r="BN1" s="11">
        <v>43517</v>
      </c>
      <c r="BO1" s="11">
        <v>43518</v>
      </c>
      <c r="BP1" s="11">
        <v>43521</v>
      </c>
      <c r="BQ1" s="11">
        <v>43522</v>
      </c>
      <c r="BR1" s="11">
        <v>43523</v>
      </c>
      <c r="BS1" s="11">
        <v>43524</v>
      </c>
      <c r="BT1" s="11">
        <v>43525</v>
      </c>
      <c r="BU1" s="11">
        <v>43528</v>
      </c>
      <c r="BV1" s="11">
        <v>43529</v>
      </c>
      <c r="BW1" s="11">
        <v>43530</v>
      </c>
      <c r="BX1" s="11">
        <v>43531</v>
      </c>
      <c r="BY1" s="11">
        <v>43532</v>
      </c>
      <c r="BZ1" s="11">
        <v>43535</v>
      </c>
      <c r="CA1" s="11">
        <v>43536</v>
      </c>
      <c r="CB1" s="11">
        <v>43537</v>
      </c>
      <c r="CC1" s="11">
        <v>43538</v>
      </c>
      <c r="CD1" s="11">
        <v>43539</v>
      </c>
      <c r="CE1" s="11">
        <v>43542</v>
      </c>
      <c r="CF1" s="11">
        <v>43545</v>
      </c>
      <c r="CG1" s="11">
        <v>43546</v>
      </c>
      <c r="CH1" s="11">
        <v>43549</v>
      </c>
      <c r="CI1" s="11">
        <v>43550</v>
      </c>
      <c r="CJ1" s="11">
        <v>43551</v>
      </c>
      <c r="CK1" s="11">
        <v>43552</v>
      </c>
      <c r="CL1" s="11">
        <v>43558</v>
      </c>
      <c r="CM1" s="11">
        <v>43560</v>
      </c>
      <c r="CN1" s="11">
        <v>43564</v>
      </c>
      <c r="CO1" s="11">
        <v>43566</v>
      </c>
      <c r="CP1" s="11">
        <v>43577</v>
      </c>
      <c r="CQ1" s="11">
        <v>43579</v>
      </c>
      <c r="CR1" s="11">
        <v>43580</v>
      </c>
      <c r="CS1" s="11">
        <v>43581</v>
      </c>
      <c r="CT1" s="11">
        <v>43584</v>
      </c>
      <c r="CU1" s="11">
        <v>43585</v>
      </c>
      <c r="CV1" s="11">
        <v>43587</v>
      </c>
      <c r="CW1" s="11">
        <v>43606</v>
      </c>
      <c r="CX1" s="11">
        <v>43607</v>
      </c>
      <c r="CY1" s="11">
        <v>43608</v>
      </c>
      <c r="CZ1" s="11">
        <v>43609</v>
      </c>
      <c r="DA1" s="11">
        <v>43612</v>
      </c>
      <c r="DB1" s="11">
        <v>43613</v>
      </c>
      <c r="DC1" s="11">
        <v>43614</v>
      </c>
      <c r="DD1" s="11">
        <v>43615</v>
      </c>
      <c r="DE1" s="11">
        <v>43616</v>
      </c>
      <c r="DF1" s="11">
        <v>43617</v>
      </c>
      <c r="DG1" s="11">
        <v>43620</v>
      </c>
      <c r="DH1" s="11">
        <v>43621</v>
      </c>
      <c r="DI1" s="11">
        <v>43622</v>
      </c>
      <c r="DJ1" s="11">
        <v>43626</v>
      </c>
      <c r="DK1" s="11">
        <v>43627</v>
      </c>
      <c r="DL1" s="11">
        <v>43628</v>
      </c>
      <c r="DM1" s="11">
        <v>43629</v>
      </c>
      <c r="DN1" s="11">
        <v>43630</v>
      </c>
      <c r="DO1" s="11">
        <v>43633</v>
      </c>
      <c r="DP1" s="11">
        <v>43634</v>
      </c>
      <c r="DQ1" s="11">
        <v>43635</v>
      </c>
      <c r="DR1" s="11">
        <v>43636</v>
      </c>
      <c r="DS1" s="11">
        <v>43637</v>
      </c>
      <c r="DT1" s="11">
        <v>43640</v>
      </c>
      <c r="DU1" s="11">
        <v>43641</v>
      </c>
      <c r="DV1" s="11">
        <v>43643</v>
      </c>
      <c r="DW1" s="11">
        <v>43644</v>
      </c>
      <c r="DX1" s="11">
        <v>43647</v>
      </c>
      <c r="DY1" s="11">
        <v>43648</v>
      </c>
      <c r="DZ1" s="11">
        <v>43651</v>
      </c>
      <c r="EA1" s="11">
        <v>43654</v>
      </c>
      <c r="EB1" s="11">
        <v>43655</v>
      </c>
      <c r="EC1" s="11">
        <v>43656</v>
      </c>
      <c r="ED1" s="11">
        <v>43657</v>
      </c>
      <c r="EE1" s="11">
        <v>43658</v>
      </c>
      <c r="EF1" s="11">
        <v>43661</v>
      </c>
      <c r="EG1" s="11">
        <v>43663</v>
      </c>
      <c r="EH1" s="11">
        <v>43664</v>
      </c>
      <c r="EI1" s="11">
        <v>43665</v>
      </c>
      <c r="EJ1" s="11">
        <v>43669</v>
      </c>
      <c r="EK1" s="11">
        <v>43670</v>
      </c>
      <c r="EL1" s="11">
        <v>43671</v>
      </c>
      <c r="EM1" s="11">
        <v>43672</v>
      </c>
      <c r="EN1" s="11">
        <v>43675</v>
      </c>
      <c r="EO1" s="11">
        <v>43676</v>
      </c>
      <c r="EP1" s="11">
        <v>43677</v>
      </c>
      <c r="EQ1" s="11">
        <v>43679</v>
      </c>
      <c r="ER1" s="11">
        <v>43682</v>
      </c>
      <c r="ES1" s="11">
        <v>43684</v>
      </c>
      <c r="ET1" s="11">
        <v>43686</v>
      </c>
      <c r="EU1" s="11">
        <v>43689</v>
      </c>
      <c r="EV1" s="11">
        <v>43690</v>
      </c>
      <c r="EW1" s="11">
        <v>43692</v>
      </c>
      <c r="EX1" s="11">
        <v>43693</v>
      </c>
      <c r="EY1" s="11">
        <v>43700</v>
      </c>
      <c r="EZ1" s="11">
        <v>43726</v>
      </c>
      <c r="FA1" s="11">
        <v>43727</v>
      </c>
      <c r="FB1" s="11">
        <v>43728</v>
      </c>
      <c r="FC1" s="11">
        <v>43729</v>
      </c>
      <c r="FD1" s="11">
        <v>43735</v>
      </c>
      <c r="FE1" s="11">
        <v>43738</v>
      </c>
      <c r="FF1" s="11">
        <v>43739</v>
      </c>
      <c r="FG1" s="11">
        <v>43740</v>
      </c>
      <c r="FH1" s="11">
        <v>43741</v>
      </c>
      <c r="FI1" s="11">
        <v>43742</v>
      </c>
      <c r="FJ1" s="11">
        <v>43745</v>
      </c>
      <c r="FK1" s="11">
        <v>43746</v>
      </c>
      <c r="FL1" s="11">
        <v>43747</v>
      </c>
      <c r="FM1" s="11">
        <v>43748</v>
      </c>
      <c r="FN1" s="11">
        <v>43749</v>
      </c>
      <c r="FO1" s="11">
        <v>43752</v>
      </c>
      <c r="FP1" s="11">
        <v>43753</v>
      </c>
      <c r="FQ1" s="11">
        <v>43755</v>
      </c>
      <c r="FR1" s="11">
        <v>43756</v>
      </c>
      <c r="FS1" s="11">
        <v>43759</v>
      </c>
      <c r="FT1" s="11">
        <v>43760</v>
      </c>
      <c r="FU1" s="11">
        <v>43761</v>
      </c>
      <c r="FV1" s="11">
        <v>43762</v>
      </c>
      <c r="FW1" s="11">
        <v>43766</v>
      </c>
      <c r="FX1" s="11">
        <v>43767</v>
      </c>
      <c r="FY1" s="11">
        <v>43768</v>
      </c>
      <c r="FZ1" s="11">
        <v>43773</v>
      </c>
      <c r="GA1" s="11">
        <v>43775</v>
      </c>
      <c r="GB1" s="11">
        <v>43776</v>
      </c>
      <c r="GC1" s="11">
        <v>43780</v>
      </c>
      <c r="GD1" s="11">
        <v>43782</v>
      </c>
      <c r="GE1" s="11">
        <v>43783</v>
      </c>
      <c r="GF1" s="11">
        <v>43784</v>
      </c>
      <c r="GG1" s="11">
        <v>43787</v>
      </c>
      <c r="GH1" s="11">
        <v>43790</v>
      </c>
      <c r="GI1" s="11">
        <v>43791</v>
      </c>
      <c r="GJ1" s="11">
        <v>43794</v>
      </c>
      <c r="GK1" s="11">
        <v>43795</v>
      </c>
      <c r="GL1" s="11">
        <v>43799</v>
      </c>
      <c r="GM1" s="11">
        <v>43802</v>
      </c>
      <c r="GN1" s="11">
        <v>43803</v>
      </c>
      <c r="GO1" s="11">
        <v>43804</v>
      </c>
      <c r="GP1" s="11">
        <v>43805</v>
      </c>
      <c r="GQ1" s="11">
        <v>43808</v>
      </c>
      <c r="GR1" s="11">
        <v>43809</v>
      </c>
      <c r="GS1" s="11">
        <v>43811</v>
      </c>
      <c r="GT1" s="11">
        <v>43815</v>
      </c>
      <c r="GU1" s="11">
        <v>43816</v>
      </c>
      <c r="GV1" s="11">
        <v>43818</v>
      </c>
      <c r="GW1" s="11">
        <v>43819</v>
      </c>
      <c r="GX1" s="11">
        <v>43822</v>
      </c>
      <c r="GY1" s="11">
        <v>43825</v>
      </c>
      <c r="GZ1" s="11">
        <v>43829</v>
      </c>
      <c r="HA1" s="11">
        <v>43832</v>
      </c>
      <c r="HB1" s="11">
        <v>43833</v>
      </c>
      <c r="HC1" s="11">
        <v>43836</v>
      </c>
      <c r="HD1" s="11">
        <v>43837</v>
      </c>
      <c r="HE1" s="11">
        <v>43838</v>
      </c>
      <c r="HF1" s="11">
        <v>43839</v>
      </c>
      <c r="HG1" s="11">
        <v>43843</v>
      </c>
      <c r="HH1" s="11">
        <v>43847</v>
      </c>
      <c r="HI1" s="11">
        <v>43850</v>
      </c>
      <c r="HJ1" s="11">
        <v>43852</v>
      </c>
      <c r="HK1" s="11">
        <v>43853</v>
      </c>
      <c r="HL1" s="11">
        <v>43857</v>
      </c>
      <c r="HM1" s="11">
        <v>43859</v>
      </c>
      <c r="HN1" s="11">
        <v>43860</v>
      </c>
      <c r="HO1" s="11">
        <v>43864</v>
      </c>
      <c r="HP1" s="11">
        <v>43867</v>
      </c>
      <c r="HQ1" s="11">
        <v>43868</v>
      </c>
      <c r="HR1" s="11">
        <v>43871</v>
      </c>
      <c r="HS1" s="11">
        <v>43872</v>
      </c>
      <c r="HT1" s="11">
        <v>43873</v>
      </c>
      <c r="HU1" s="11">
        <v>43874</v>
      </c>
      <c r="HV1" s="11">
        <v>43875</v>
      </c>
      <c r="HW1" s="11">
        <v>43878</v>
      </c>
      <c r="HX1" s="11">
        <v>43879</v>
      </c>
      <c r="HY1" s="11">
        <v>43880</v>
      </c>
      <c r="HZ1" s="11">
        <v>43881</v>
      </c>
      <c r="IA1" s="11">
        <v>43885</v>
      </c>
      <c r="IB1" s="11">
        <v>43886</v>
      </c>
      <c r="IC1" s="11">
        <v>43887</v>
      </c>
      <c r="ID1" s="11">
        <v>43888</v>
      </c>
      <c r="IE1" s="11">
        <v>43889</v>
      </c>
      <c r="IF1" s="11">
        <v>43892</v>
      </c>
      <c r="IG1" s="11">
        <v>43893</v>
      </c>
      <c r="IH1" s="11">
        <v>43894</v>
      </c>
      <c r="II1" s="11">
        <v>43895</v>
      </c>
      <c r="IJ1" s="11">
        <v>43896</v>
      </c>
      <c r="IK1" s="11">
        <v>43900</v>
      </c>
      <c r="IL1" s="11">
        <v>43901</v>
      </c>
      <c r="IM1" s="11">
        <v>43902</v>
      </c>
      <c r="IN1" s="11">
        <v>43903</v>
      </c>
      <c r="IO1" s="11">
        <v>43907</v>
      </c>
      <c r="IP1" s="11">
        <v>43908</v>
      </c>
      <c r="IQ1" s="11">
        <v>43909</v>
      </c>
      <c r="IR1" s="11">
        <v>43910</v>
      </c>
      <c r="IS1" s="11">
        <v>43913</v>
      </c>
      <c r="IT1" s="11">
        <v>43915</v>
      </c>
      <c r="IU1" s="11">
        <v>43916</v>
      </c>
      <c r="IV1" s="11">
        <v>43920</v>
      </c>
      <c r="IW1" s="11">
        <v>43922</v>
      </c>
      <c r="IX1" s="11">
        <v>43927</v>
      </c>
      <c r="IY1" s="11">
        <v>43930</v>
      </c>
      <c r="IZ1" s="11">
        <v>43936</v>
      </c>
      <c r="JA1" s="11">
        <v>43941</v>
      </c>
      <c r="JB1" s="11">
        <v>43942</v>
      </c>
      <c r="JC1" s="11">
        <v>43943</v>
      </c>
      <c r="JD1" s="11">
        <v>43948</v>
      </c>
      <c r="JE1" s="11">
        <v>43949</v>
      </c>
      <c r="JF1" s="11">
        <v>43950</v>
      </c>
      <c r="JG1" s="11">
        <v>43951</v>
      </c>
      <c r="JH1" s="11">
        <v>43955</v>
      </c>
      <c r="JI1" s="11">
        <v>43956</v>
      </c>
      <c r="JJ1" s="11">
        <v>43957</v>
      </c>
      <c r="JK1" s="11">
        <v>43962</v>
      </c>
      <c r="JL1" s="11">
        <v>43963</v>
      </c>
      <c r="JM1" s="11">
        <v>43964</v>
      </c>
      <c r="JN1" s="11">
        <v>43965</v>
      </c>
      <c r="JO1" s="11">
        <v>43966</v>
      </c>
      <c r="JP1" s="11">
        <v>43969</v>
      </c>
      <c r="JQ1" s="11">
        <v>43970</v>
      </c>
      <c r="JR1" s="11">
        <v>43971</v>
      </c>
      <c r="JS1" s="11">
        <v>43972</v>
      </c>
      <c r="JT1" s="11">
        <v>43973</v>
      </c>
      <c r="JU1" s="11">
        <v>43976</v>
      </c>
      <c r="JV1" s="11">
        <v>43977</v>
      </c>
      <c r="JW1" s="101">
        <v>43978</v>
      </c>
      <c r="JX1" s="474" t="s">
        <v>103</v>
      </c>
      <c r="JY1" s="105" t="s">
        <v>44</v>
      </c>
      <c r="JZ1" s="46"/>
      <c r="KA1" s="44"/>
      <c r="KB1" s="83" t="s">
        <v>44</v>
      </c>
      <c r="KC1" s="11">
        <v>43979</v>
      </c>
      <c r="KD1" s="11">
        <v>43980</v>
      </c>
      <c r="KE1" s="11">
        <v>43983</v>
      </c>
      <c r="KF1" s="11">
        <v>43984</v>
      </c>
      <c r="KG1" s="11">
        <v>43985</v>
      </c>
      <c r="KH1" s="11">
        <v>43986</v>
      </c>
      <c r="KI1" s="11">
        <v>43990</v>
      </c>
      <c r="KJ1" s="11">
        <v>43991</v>
      </c>
      <c r="KK1" s="121"/>
      <c r="KL1" s="83" t="s">
        <v>44</v>
      </c>
      <c r="KM1" s="11">
        <v>43992</v>
      </c>
      <c r="KN1" s="11">
        <v>43993</v>
      </c>
      <c r="KO1" s="11">
        <v>43994</v>
      </c>
      <c r="KP1" s="11">
        <v>43997</v>
      </c>
      <c r="KQ1" s="11">
        <v>43998</v>
      </c>
      <c r="KR1" s="11">
        <v>43999</v>
      </c>
      <c r="KS1" s="11">
        <v>44000</v>
      </c>
      <c r="KT1" s="11">
        <v>44001</v>
      </c>
      <c r="KU1" s="11">
        <v>44004</v>
      </c>
      <c r="KV1" s="11">
        <v>44005</v>
      </c>
      <c r="KW1" s="11">
        <v>44006</v>
      </c>
      <c r="KX1" s="11">
        <v>44007</v>
      </c>
      <c r="KY1" s="11">
        <v>44011</v>
      </c>
      <c r="KZ1" s="11">
        <v>44012</v>
      </c>
      <c r="LA1" s="11">
        <v>44013</v>
      </c>
      <c r="LB1" s="11">
        <v>44014</v>
      </c>
      <c r="LC1" s="11">
        <v>44015</v>
      </c>
      <c r="LD1" s="11">
        <v>44018</v>
      </c>
      <c r="LE1" s="11">
        <v>44019</v>
      </c>
      <c r="LF1" s="11">
        <v>44020</v>
      </c>
      <c r="LG1" s="11">
        <v>44021</v>
      </c>
      <c r="LH1" s="11">
        <v>44022</v>
      </c>
      <c r="LI1" s="11">
        <v>44025</v>
      </c>
      <c r="LJ1" s="11">
        <v>44026</v>
      </c>
      <c r="LK1" s="11">
        <v>44027</v>
      </c>
      <c r="LL1" s="11">
        <v>44028</v>
      </c>
      <c r="LM1" s="11">
        <v>44029</v>
      </c>
      <c r="LN1" s="11">
        <v>44032</v>
      </c>
      <c r="LO1" s="11">
        <v>44033</v>
      </c>
      <c r="LP1" s="11">
        <v>44034</v>
      </c>
      <c r="LQ1" s="11">
        <v>44035</v>
      </c>
      <c r="LR1" s="11">
        <v>44036</v>
      </c>
      <c r="LS1" s="11">
        <v>44039</v>
      </c>
      <c r="LT1" s="11">
        <v>44040</v>
      </c>
      <c r="LU1" s="11">
        <v>44041</v>
      </c>
      <c r="LV1" s="11">
        <v>44047</v>
      </c>
      <c r="LW1" s="11">
        <v>44048</v>
      </c>
      <c r="LX1" s="11">
        <v>44050</v>
      </c>
      <c r="LY1" s="11">
        <v>44053</v>
      </c>
      <c r="LZ1" s="11">
        <v>44054</v>
      </c>
      <c r="MA1" s="11">
        <v>44055</v>
      </c>
      <c r="MB1" s="11">
        <v>44056</v>
      </c>
      <c r="MC1" s="11">
        <v>44057</v>
      </c>
      <c r="MD1" s="11">
        <v>44060</v>
      </c>
      <c r="ME1" s="11">
        <v>44061</v>
      </c>
      <c r="MF1" s="11">
        <v>44062</v>
      </c>
      <c r="MG1" s="11">
        <v>44063</v>
      </c>
      <c r="MH1" s="11">
        <v>44064</v>
      </c>
      <c r="MI1" s="11">
        <v>44067</v>
      </c>
      <c r="MJ1" s="11">
        <v>44068</v>
      </c>
      <c r="MK1" s="11">
        <v>44069</v>
      </c>
      <c r="ML1" s="11">
        <v>44071</v>
      </c>
      <c r="MM1" s="11">
        <v>44074</v>
      </c>
      <c r="MN1" s="11">
        <v>44076</v>
      </c>
      <c r="MO1" s="11">
        <v>44077</v>
      </c>
      <c r="MP1" s="11">
        <v>44078</v>
      </c>
      <c r="MQ1" s="11">
        <v>44081</v>
      </c>
      <c r="MR1" s="11">
        <v>44082</v>
      </c>
      <c r="MS1" s="11">
        <v>44084</v>
      </c>
      <c r="MT1" s="11">
        <v>44085</v>
      </c>
      <c r="MU1" s="11">
        <v>44088</v>
      </c>
      <c r="MV1" s="11">
        <v>44089</v>
      </c>
      <c r="MW1" s="11">
        <v>44090</v>
      </c>
      <c r="MX1" s="11">
        <v>44091</v>
      </c>
      <c r="MY1" s="11">
        <v>44092</v>
      </c>
      <c r="MZ1" s="11">
        <v>44095</v>
      </c>
      <c r="NA1" s="11">
        <v>44096</v>
      </c>
      <c r="NB1" s="11">
        <v>44097</v>
      </c>
      <c r="NC1" s="11">
        <v>44098</v>
      </c>
      <c r="ND1" s="11">
        <v>44099</v>
      </c>
      <c r="NE1" s="11">
        <v>44102</v>
      </c>
      <c r="NF1" s="11">
        <v>44103</v>
      </c>
      <c r="NG1" s="11">
        <v>44104</v>
      </c>
      <c r="NH1" s="11">
        <v>44106</v>
      </c>
      <c r="NI1" s="11">
        <v>44109</v>
      </c>
      <c r="NJ1" s="11">
        <v>44110</v>
      </c>
      <c r="NK1" s="11">
        <v>44111</v>
      </c>
      <c r="NL1" s="11">
        <v>44112</v>
      </c>
      <c r="NM1" s="11">
        <v>44113</v>
      </c>
      <c r="NN1" s="11">
        <v>44116</v>
      </c>
      <c r="NO1" s="11">
        <v>44117</v>
      </c>
      <c r="NP1" s="11">
        <v>44118</v>
      </c>
      <c r="NQ1" s="11">
        <v>44119</v>
      </c>
      <c r="NR1" s="11">
        <v>44120</v>
      </c>
      <c r="NS1" s="11">
        <v>44123</v>
      </c>
      <c r="NT1" s="11">
        <v>44124</v>
      </c>
      <c r="NU1" s="11">
        <v>44125</v>
      </c>
      <c r="NV1" s="11">
        <v>44126</v>
      </c>
      <c r="NW1" s="11">
        <v>44127</v>
      </c>
      <c r="NX1" s="11">
        <v>44130</v>
      </c>
      <c r="NY1" s="11">
        <v>44131</v>
      </c>
      <c r="NZ1" s="11">
        <v>44132</v>
      </c>
      <c r="OA1" s="11">
        <v>44133</v>
      </c>
      <c r="OB1" s="11">
        <v>44137</v>
      </c>
      <c r="OC1" s="11">
        <v>44138</v>
      </c>
      <c r="OD1" s="11">
        <v>44139</v>
      </c>
      <c r="OE1" s="11">
        <v>44140</v>
      </c>
      <c r="OF1" s="11">
        <v>44141</v>
      </c>
      <c r="OG1" s="11">
        <v>44144</v>
      </c>
      <c r="OH1" s="11">
        <v>44145</v>
      </c>
      <c r="OI1" s="11">
        <v>44146</v>
      </c>
      <c r="OJ1" s="11">
        <v>44147</v>
      </c>
      <c r="OK1" s="11">
        <v>44153</v>
      </c>
      <c r="OL1" s="11">
        <v>44154</v>
      </c>
      <c r="OM1" s="11">
        <v>44155</v>
      </c>
      <c r="ON1" s="11">
        <v>44158</v>
      </c>
      <c r="OO1" s="11">
        <v>44159</v>
      </c>
      <c r="OP1" s="11">
        <v>44160</v>
      </c>
      <c r="OQ1" s="11">
        <v>44161</v>
      </c>
      <c r="OR1" s="11">
        <v>44162</v>
      </c>
      <c r="OS1" s="11">
        <v>44165</v>
      </c>
      <c r="OT1" s="11">
        <v>44166</v>
      </c>
      <c r="OU1" s="11">
        <v>44167</v>
      </c>
      <c r="OV1" s="11">
        <v>44168</v>
      </c>
      <c r="OW1" s="11">
        <v>44169</v>
      </c>
      <c r="OX1" s="11">
        <v>44172</v>
      </c>
      <c r="OY1" s="11">
        <v>44173</v>
      </c>
      <c r="OZ1" s="11">
        <v>44174</v>
      </c>
      <c r="PA1" s="11">
        <v>44175</v>
      </c>
      <c r="PB1" s="11">
        <v>44176</v>
      </c>
      <c r="PC1" s="11">
        <v>44179</v>
      </c>
      <c r="PD1" s="11">
        <v>44180</v>
      </c>
      <c r="PE1" s="11">
        <v>44181</v>
      </c>
      <c r="PF1" s="11">
        <v>44182</v>
      </c>
      <c r="PG1" s="11">
        <v>44183</v>
      </c>
      <c r="PH1" s="11">
        <v>44186</v>
      </c>
      <c r="PI1" s="11">
        <v>44187</v>
      </c>
      <c r="PJ1" s="11">
        <v>44188</v>
      </c>
      <c r="PK1" s="11">
        <v>44189</v>
      </c>
      <c r="PL1" s="11">
        <v>44195</v>
      </c>
      <c r="PM1" s="11">
        <v>44196</v>
      </c>
      <c r="PN1" s="11">
        <v>44197</v>
      </c>
      <c r="PO1" s="11">
        <v>44200</v>
      </c>
      <c r="PP1" s="11">
        <v>44201</v>
      </c>
      <c r="PQ1" s="11">
        <v>44202</v>
      </c>
      <c r="PR1" s="11">
        <v>44203</v>
      </c>
      <c r="PS1" s="11">
        <v>44204</v>
      </c>
      <c r="PT1" s="11">
        <v>44207</v>
      </c>
      <c r="PU1" s="11">
        <v>44208</v>
      </c>
      <c r="PV1" s="11">
        <v>44209</v>
      </c>
      <c r="PW1" s="11">
        <v>44211</v>
      </c>
      <c r="PX1" s="11">
        <v>44214</v>
      </c>
      <c r="PY1" s="11">
        <v>44215</v>
      </c>
      <c r="PZ1" s="11">
        <v>44216</v>
      </c>
      <c r="QA1" s="11">
        <v>44217</v>
      </c>
      <c r="QB1" s="11">
        <v>44218</v>
      </c>
      <c r="QC1" s="11">
        <v>44221</v>
      </c>
      <c r="QD1" s="11">
        <v>44222</v>
      </c>
      <c r="QE1" s="11">
        <v>44223</v>
      </c>
      <c r="QF1" s="11">
        <v>44225</v>
      </c>
      <c r="QG1" s="11">
        <v>44228</v>
      </c>
      <c r="QH1" s="11">
        <v>44229</v>
      </c>
      <c r="QI1" s="11">
        <v>44230</v>
      </c>
      <c r="QJ1" s="11">
        <v>44232</v>
      </c>
      <c r="QK1" s="11">
        <v>44235</v>
      </c>
      <c r="QL1" s="11">
        <v>44236</v>
      </c>
      <c r="QM1" s="11">
        <v>44237</v>
      </c>
      <c r="QN1" s="11">
        <v>44238</v>
      </c>
      <c r="QO1" s="11">
        <v>44239</v>
      </c>
      <c r="QP1" s="11">
        <v>44242</v>
      </c>
      <c r="QQ1" s="11">
        <v>44243</v>
      </c>
      <c r="QR1" s="11">
        <v>44244</v>
      </c>
      <c r="QS1" s="11">
        <v>44245</v>
      </c>
      <c r="QT1" s="11">
        <v>44246</v>
      </c>
      <c r="QU1" s="11">
        <v>44249</v>
      </c>
      <c r="QV1" s="11">
        <v>44250</v>
      </c>
      <c r="QW1" s="11">
        <v>44251</v>
      </c>
      <c r="QX1" s="11">
        <v>44252</v>
      </c>
      <c r="QY1" s="11">
        <v>44256</v>
      </c>
      <c r="QZ1" s="11">
        <v>44257</v>
      </c>
      <c r="RA1" s="11">
        <v>44258</v>
      </c>
      <c r="RB1" s="11">
        <v>44259</v>
      </c>
      <c r="RC1" s="11">
        <v>44260</v>
      </c>
      <c r="RD1" s="11">
        <v>44263</v>
      </c>
      <c r="RE1" s="11">
        <v>44264</v>
      </c>
      <c r="RF1" s="11">
        <v>44265</v>
      </c>
      <c r="RG1" s="11">
        <v>44266</v>
      </c>
      <c r="RH1" s="11">
        <v>44267</v>
      </c>
      <c r="RI1" s="11">
        <v>44270</v>
      </c>
      <c r="RJ1" s="11">
        <v>44271</v>
      </c>
      <c r="RK1" s="11">
        <v>44272</v>
      </c>
      <c r="RL1" s="11">
        <v>44273</v>
      </c>
      <c r="RM1" s="11">
        <v>44274</v>
      </c>
      <c r="RN1" s="11">
        <v>44277</v>
      </c>
      <c r="RO1" s="11">
        <v>44278</v>
      </c>
      <c r="RP1" s="11">
        <v>44279</v>
      </c>
      <c r="RQ1" s="11">
        <v>44280</v>
      </c>
      <c r="RR1" s="11">
        <v>44281</v>
      </c>
      <c r="RS1" s="11">
        <v>44284</v>
      </c>
      <c r="RT1" s="11">
        <v>44285</v>
      </c>
      <c r="RU1" s="11">
        <v>44286</v>
      </c>
      <c r="RV1" s="11">
        <v>44287</v>
      </c>
      <c r="RW1" s="11">
        <v>44288</v>
      </c>
      <c r="RX1" s="11">
        <v>44291</v>
      </c>
      <c r="RY1" s="11">
        <v>44292</v>
      </c>
      <c r="RZ1" s="11">
        <v>44293</v>
      </c>
      <c r="SA1" s="11">
        <v>44294</v>
      </c>
      <c r="SB1" s="11">
        <v>44295</v>
      </c>
      <c r="SC1" s="11">
        <v>44301</v>
      </c>
      <c r="SD1" s="11">
        <v>44302</v>
      </c>
      <c r="SE1" s="11">
        <v>44305</v>
      </c>
      <c r="SF1" s="11">
        <v>44306</v>
      </c>
      <c r="SG1" s="11">
        <v>44307</v>
      </c>
      <c r="SH1" s="11">
        <v>44308</v>
      </c>
      <c r="SI1" s="11">
        <v>44309</v>
      </c>
      <c r="SJ1" s="11">
        <v>44313</v>
      </c>
      <c r="SK1" s="11">
        <v>44314</v>
      </c>
      <c r="SL1" s="11">
        <v>44315</v>
      </c>
      <c r="SM1" s="11">
        <v>44316</v>
      </c>
      <c r="SN1" s="11">
        <v>44319</v>
      </c>
      <c r="SO1" s="11">
        <v>44320</v>
      </c>
      <c r="SP1" s="11">
        <v>44321</v>
      </c>
      <c r="SQ1" s="11">
        <v>44322</v>
      </c>
      <c r="SR1" s="11">
        <v>44323</v>
      </c>
      <c r="SS1" s="11">
        <v>44326</v>
      </c>
      <c r="ST1" s="11">
        <v>44327</v>
      </c>
      <c r="SU1" s="11">
        <v>44328</v>
      </c>
      <c r="SV1" s="11">
        <v>44329</v>
      </c>
      <c r="SW1" s="11">
        <v>44330</v>
      </c>
      <c r="SX1" s="11">
        <v>44333</v>
      </c>
      <c r="SY1" s="11">
        <v>44334</v>
      </c>
      <c r="SZ1" s="11">
        <v>44335</v>
      </c>
      <c r="TA1" s="11">
        <v>44336</v>
      </c>
      <c r="TB1" s="11">
        <v>44337</v>
      </c>
      <c r="TC1" s="11">
        <v>44340</v>
      </c>
      <c r="TD1" s="11">
        <v>44341</v>
      </c>
      <c r="TE1" s="11">
        <v>44344</v>
      </c>
      <c r="TF1" s="11">
        <v>44347</v>
      </c>
      <c r="TG1" s="11">
        <v>44348</v>
      </c>
      <c r="TH1" s="11">
        <v>44349</v>
      </c>
      <c r="TI1" s="11">
        <v>44350</v>
      </c>
      <c r="TJ1" s="11">
        <v>44351</v>
      </c>
      <c r="TK1" s="11">
        <v>44352</v>
      </c>
      <c r="TL1" s="11">
        <v>44354</v>
      </c>
      <c r="TM1" s="11">
        <v>44355</v>
      </c>
      <c r="TN1" s="11">
        <v>44356</v>
      </c>
      <c r="TO1" s="197">
        <v>44357</v>
      </c>
      <c r="TP1" s="197">
        <v>44358</v>
      </c>
      <c r="TQ1" s="197">
        <v>44361</v>
      </c>
      <c r="TR1" s="197">
        <v>44362</v>
      </c>
      <c r="TS1" s="197">
        <v>44363</v>
      </c>
      <c r="TT1" s="197">
        <v>44364</v>
      </c>
      <c r="TU1" s="197">
        <v>44365</v>
      </c>
      <c r="TV1" s="197">
        <v>44368</v>
      </c>
      <c r="TW1" s="11">
        <v>44369</v>
      </c>
      <c r="TX1" s="11">
        <v>44370</v>
      </c>
      <c r="TY1" s="11">
        <v>44372</v>
      </c>
      <c r="TZ1" s="11">
        <v>44375</v>
      </c>
      <c r="UA1" s="11">
        <v>44376</v>
      </c>
      <c r="UB1" s="11">
        <v>44377</v>
      </c>
      <c r="UC1" s="11">
        <v>44378</v>
      </c>
      <c r="UD1" s="11">
        <v>44379</v>
      </c>
      <c r="UE1" s="11">
        <v>44382</v>
      </c>
      <c r="UF1" s="11">
        <v>44383</v>
      </c>
      <c r="UG1" s="11">
        <v>44384</v>
      </c>
      <c r="UH1" s="11">
        <v>44385</v>
      </c>
      <c r="UI1" s="11">
        <v>44386</v>
      </c>
      <c r="UJ1" s="11">
        <v>44389</v>
      </c>
      <c r="UK1" s="11">
        <v>44390</v>
      </c>
      <c r="UL1" s="11">
        <v>44391</v>
      </c>
      <c r="UM1" s="11">
        <v>44392</v>
      </c>
      <c r="UN1" s="11">
        <v>44393</v>
      </c>
      <c r="UO1" s="11">
        <v>44396</v>
      </c>
      <c r="UP1" s="11">
        <v>44397</v>
      </c>
      <c r="UQ1" s="11">
        <v>44398</v>
      </c>
      <c r="UR1" s="11">
        <v>44399</v>
      </c>
      <c r="US1" s="11">
        <v>44403</v>
      </c>
      <c r="UU1" s="83" t="s">
        <v>44</v>
      </c>
      <c r="UV1" s="47" t="s">
        <v>104</v>
      </c>
      <c r="UW1" s="46" t="s">
        <v>78</v>
      </c>
      <c r="UX1" s="46" t="s">
        <v>105</v>
      </c>
      <c r="UY1" s="46" t="s">
        <v>106</v>
      </c>
      <c r="UZ1" s="46" t="s">
        <v>107</v>
      </c>
      <c r="VA1" s="46" t="s">
        <v>44</v>
      </c>
      <c r="VB1" s="46" t="s">
        <v>62</v>
      </c>
      <c r="VC1" s="46" t="s">
        <v>45</v>
      </c>
      <c r="VD1" s="83" t="s">
        <v>108</v>
      </c>
      <c r="VG1" s="4" t="s">
        <v>109</v>
      </c>
      <c r="VI1" s="49"/>
      <c r="VJ1" s="133" t="s">
        <v>110</v>
      </c>
      <c r="VK1" s="49"/>
      <c r="VL1" s="49"/>
    </row>
    <row r="2" spans="1:603" ht="45" x14ac:dyDescent="0.25">
      <c r="A2" s="6" t="s">
        <v>46</v>
      </c>
      <c r="B2" s="8" t="s">
        <v>47</v>
      </c>
      <c r="C2" s="7">
        <v>9000</v>
      </c>
      <c r="D2" s="7">
        <v>6902</v>
      </c>
      <c r="E2" s="7">
        <v>6927</v>
      </c>
      <c r="F2" s="7">
        <v>7224</v>
      </c>
      <c r="G2" s="7">
        <v>7310</v>
      </c>
      <c r="H2" s="7">
        <v>7310</v>
      </c>
      <c r="I2" s="7">
        <v>7547</v>
      </c>
      <c r="J2" s="7">
        <v>7659</v>
      </c>
      <c r="K2" s="7">
        <v>7894</v>
      </c>
      <c r="L2" s="7">
        <v>8000</v>
      </c>
      <c r="M2" s="7">
        <v>7999</v>
      </c>
      <c r="N2" s="7">
        <v>8140</v>
      </c>
      <c r="O2" s="7">
        <v>7932</v>
      </c>
      <c r="P2" s="7">
        <v>7697</v>
      </c>
      <c r="Q2" s="7">
        <f>8887-1000</f>
        <v>7887</v>
      </c>
      <c r="R2" s="7">
        <v>8236</v>
      </c>
      <c r="S2" s="7">
        <v>8096</v>
      </c>
      <c r="T2" s="7">
        <v>8186</v>
      </c>
      <c r="U2" s="7">
        <v>8254</v>
      </c>
      <c r="V2" s="7">
        <v>8140</v>
      </c>
      <c r="W2" s="7"/>
      <c r="X2" s="7"/>
      <c r="Y2" s="7">
        <v>7499</v>
      </c>
      <c r="Z2" s="7">
        <v>7327</v>
      </c>
      <c r="AA2" s="7">
        <v>7604</v>
      </c>
      <c r="AB2" s="7">
        <v>7603</v>
      </c>
      <c r="AC2" s="7">
        <v>7457</v>
      </c>
      <c r="AD2" s="7"/>
      <c r="AE2" s="10">
        <v>7619.58</v>
      </c>
      <c r="AF2" s="10">
        <v>7725</v>
      </c>
      <c r="AG2" s="10">
        <v>6469</v>
      </c>
      <c r="AH2" s="10">
        <v>6645</v>
      </c>
      <c r="AI2" s="10">
        <v>6615</v>
      </c>
      <c r="AJ2" s="10">
        <v>6602</v>
      </c>
      <c r="AK2" s="10">
        <v>6653</v>
      </c>
      <c r="AL2" s="10">
        <v>5370</v>
      </c>
      <c r="AM2" s="10">
        <v>5392.46</v>
      </c>
      <c r="AN2" s="10">
        <v>5477</v>
      </c>
      <c r="AO2" s="10">
        <v>5476</v>
      </c>
      <c r="AP2" s="10">
        <v>5483</v>
      </c>
      <c r="AQ2" s="10">
        <v>5651</v>
      </c>
      <c r="AR2" s="10">
        <v>5733</v>
      </c>
      <c r="AS2" s="10">
        <v>5824</v>
      </c>
      <c r="AT2" s="10">
        <v>5877</v>
      </c>
      <c r="AU2" s="10">
        <v>6051</v>
      </c>
      <c r="AV2" s="10">
        <v>6419</v>
      </c>
      <c r="AW2" s="10">
        <v>6419</v>
      </c>
      <c r="AX2" s="10">
        <v>6881</v>
      </c>
      <c r="AY2" s="10">
        <v>7061</v>
      </c>
      <c r="AZ2" s="10">
        <v>6897</v>
      </c>
      <c r="BA2" s="10">
        <v>6854</v>
      </c>
      <c r="BB2" s="10">
        <v>6714</v>
      </c>
      <c r="BC2" s="10">
        <v>6764</v>
      </c>
      <c r="BD2" s="10">
        <v>6765</v>
      </c>
      <c r="BE2" s="10">
        <v>6836</v>
      </c>
      <c r="BF2" s="10">
        <v>6839</v>
      </c>
      <c r="BG2" s="10">
        <v>6853</v>
      </c>
      <c r="BH2" s="10">
        <v>7034</v>
      </c>
      <c r="BI2" s="10">
        <v>7093</v>
      </c>
      <c r="BJ2" s="10">
        <v>7117</v>
      </c>
      <c r="BK2" s="10">
        <v>7195</v>
      </c>
      <c r="BL2" s="10">
        <v>7093</v>
      </c>
      <c r="BM2" s="10">
        <v>7059</v>
      </c>
      <c r="BN2" s="10">
        <v>7047</v>
      </c>
      <c r="BO2" s="10">
        <v>7064</v>
      </c>
      <c r="BP2" s="10">
        <v>7064</v>
      </c>
      <c r="BQ2" s="10">
        <v>7064</v>
      </c>
      <c r="BR2" s="10">
        <v>7033</v>
      </c>
      <c r="BS2" s="10">
        <v>7227</v>
      </c>
      <c r="BT2" s="10">
        <v>7243</v>
      </c>
      <c r="BU2" s="10">
        <v>7277</v>
      </c>
      <c r="BV2" s="10">
        <v>7269</v>
      </c>
      <c r="BW2" s="10">
        <v>6897</v>
      </c>
      <c r="BX2" s="10">
        <v>6534</v>
      </c>
      <c r="BY2" s="10">
        <v>6116</v>
      </c>
      <c r="BZ2" s="10">
        <v>5707</v>
      </c>
      <c r="CA2" s="10">
        <v>5707</v>
      </c>
      <c r="CB2" s="10">
        <v>5658</v>
      </c>
      <c r="CC2" s="10">
        <v>5334</v>
      </c>
      <c r="CD2" s="10">
        <v>5364</v>
      </c>
      <c r="CE2" s="10">
        <v>5167</v>
      </c>
      <c r="CF2" s="10">
        <v>5167</v>
      </c>
      <c r="CG2" s="10">
        <v>5321</v>
      </c>
      <c r="CH2" s="10">
        <v>4593</v>
      </c>
      <c r="CI2" s="10">
        <v>4593</v>
      </c>
      <c r="CJ2" s="10">
        <v>4489</v>
      </c>
      <c r="CK2" s="10">
        <v>4633</v>
      </c>
      <c r="CL2" s="10">
        <v>4838</v>
      </c>
      <c r="CM2" s="10">
        <v>4925</v>
      </c>
      <c r="CN2" s="10">
        <v>4879</v>
      </c>
      <c r="CO2" s="10">
        <v>4665</v>
      </c>
      <c r="CP2" s="10">
        <v>4760</v>
      </c>
      <c r="CQ2" s="10">
        <v>4783</v>
      </c>
      <c r="CR2" s="10">
        <v>4704</v>
      </c>
      <c r="CS2" s="10">
        <v>4681</v>
      </c>
      <c r="CT2" s="10">
        <v>4891</v>
      </c>
      <c r="CU2" s="10">
        <v>4890</v>
      </c>
      <c r="CV2" s="10">
        <v>4718</v>
      </c>
      <c r="CW2" s="10">
        <v>5413</v>
      </c>
      <c r="CX2" s="10">
        <v>5371</v>
      </c>
      <c r="CY2" s="10">
        <v>5264</v>
      </c>
      <c r="CZ2" s="10">
        <v>5074</v>
      </c>
      <c r="DA2" s="10">
        <v>5275</v>
      </c>
      <c r="DB2" s="10">
        <v>5241</v>
      </c>
      <c r="DC2" s="10">
        <v>5185</v>
      </c>
      <c r="DD2" s="10">
        <v>4996</v>
      </c>
      <c r="DE2" s="10">
        <v>4866</v>
      </c>
      <c r="DF2" s="10">
        <v>4749</v>
      </c>
      <c r="DG2" s="10">
        <v>4873</v>
      </c>
      <c r="DH2" s="10">
        <v>4934</v>
      </c>
      <c r="DI2" s="10">
        <v>4714</v>
      </c>
      <c r="DJ2" s="10">
        <v>5389</v>
      </c>
      <c r="DK2" s="10">
        <v>5410</v>
      </c>
      <c r="DL2" s="10">
        <v>5541</v>
      </c>
      <c r="DM2" s="10">
        <v>5872</v>
      </c>
      <c r="DN2" s="10">
        <v>5882</v>
      </c>
      <c r="DO2" s="10">
        <v>5883</v>
      </c>
      <c r="DP2" s="10">
        <v>5727</v>
      </c>
      <c r="DQ2" s="10">
        <v>5654</v>
      </c>
      <c r="DR2" s="10">
        <v>5826</v>
      </c>
      <c r="DS2" s="10">
        <v>5911</v>
      </c>
      <c r="DT2" s="10">
        <v>4807</v>
      </c>
      <c r="DU2" s="10">
        <v>4586</v>
      </c>
      <c r="DV2" s="10">
        <v>4779</v>
      </c>
      <c r="DW2" s="10">
        <v>5401</v>
      </c>
      <c r="DX2" s="10">
        <v>4531</v>
      </c>
      <c r="DY2" s="10">
        <v>4401</v>
      </c>
      <c r="DZ2" s="10">
        <v>4976</v>
      </c>
      <c r="EA2" s="10">
        <v>5275</v>
      </c>
      <c r="EB2" s="10">
        <v>5256</v>
      </c>
      <c r="EC2" s="10">
        <v>5282</v>
      </c>
      <c r="ED2" s="10">
        <v>5269</v>
      </c>
      <c r="EE2" s="10">
        <v>5350</v>
      </c>
      <c r="EF2" s="10">
        <v>5950</v>
      </c>
      <c r="EG2" s="10">
        <v>5820</v>
      </c>
      <c r="EH2" s="10">
        <v>5748</v>
      </c>
      <c r="EI2" s="10">
        <v>6044</v>
      </c>
      <c r="EJ2" s="10">
        <v>7246</v>
      </c>
      <c r="EK2" s="10">
        <v>7175</v>
      </c>
      <c r="EL2" s="10">
        <v>7369</v>
      </c>
      <c r="EM2" s="10">
        <v>7370</v>
      </c>
      <c r="EN2" s="10">
        <v>7113</v>
      </c>
      <c r="EO2" s="10">
        <v>7203</v>
      </c>
      <c r="EP2" s="10">
        <v>6946</v>
      </c>
      <c r="EQ2" s="10">
        <v>7357</v>
      </c>
      <c r="ER2" s="10">
        <v>7127</v>
      </c>
      <c r="ES2" s="10">
        <v>7547</v>
      </c>
      <c r="ET2" s="10">
        <v>7941</v>
      </c>
      <c r="EU2" s="10">
        <v>8486</v>
      </c>
      <c r="EV2" s="10">
        <v>8467</v>
      </c>
      <c r="EW2" s="10">
        <v>8950</v>
      </c>
      <c r="EX2" s="10">
        <v>8950</v>
      </c>
      <c r="EY2" s="10">
        <v>8277</v>
      </c>
      <c r="EZ2" s="10">
        <v>7467</v>
      </c>
      <c r="FA2" s="10">
        <v>7565</v>
      </c>
      <c r="FB2" s="10">
        <v>8031</v>
      </c>
      <c r="FC2" s="10"/>
      <c r="FD2" s="10">
        <v>8753</v>
      </c>
      <c r="FE2" s="10">
        <v>8434</v>
      </c>
      <c r="FF2" s="10">
        <v>8581</v>
      </c>
      <c r="FG2" s="10">
        <v>8872</v>
      </c>
      <c r="FH2" s="10"/>
      <c r="FI2" s="10">
        <v>8573</v>
      </c>
      <c r="FJ2" s="10">
        <v>8325</v>
      </c>
      <c r="FK2" s="10">
        <v>8453</v>
      </c>
      <c r="FL2" s="10">
        <v>8369</v>
      </c>
      <c r="FM2" s="10">
        <v>8524</v>
      </c>
      <c r="FN2" s="10">
        <v>8585</v>
      </c>
      <c r="FO2" s="10">
        <v>8688</v>
      </c>
      <c r="FP2" s="10">
        <v>8737</v>
      </c>
      <c r="FQ2" s="10">
        <v>8722</v>
      </c>
      <c r="FR2" s="10">
        <v>8505</v>
      </c>
      <c r="FS2" s="10">
        <v>8562</v>
      </c>
      <c r="FT2" s="10"/>
      <c r="FU2" s="10">
        <v>8442</v>
      </c>
      <c r="FV2" s="10">
        <v>8501</v>
      </c>
      <c r="FW2" s="10">
        <v>8384</v>
      </c>
      <c r="FX2" s="10">
        <v>8296</v>
      </c>
      <c r="FY2" s="10"/>
      <c r="FZ2" s="10">
        <v>7445</v>
      </c>
      <c r="GA2" s="10">
        <v>7515</v>
      </c>
      <c r="GB2" s="10">
        <v>7756</v>
      </c>
      <c r="GC2" s="10">
        <v>7299</v>
      </c>
      <c r="GD2" s="10">
        <v>7327</v>
      </c>
      <c r="GE2" s="10">
        <v>7345</v>
      </c>
      <c r="GF2" s="10">
        <v>7415</v>
      </c>
      <c r="GG2" s="10">
        <v>6915</v>
      </c>
      <c r="GH2" s="10">
        <v>7132</v>
      </c>
      <c r="GI2" s="10">
        <v>7246</v>
      </c>
      <c r="GJ2" s="10">
        <v>7205</v>
      </c>
      <c r="GK2" s="10">
        <v>7180</v>
      </c>
      <c r="GL2" s="10">
        <v>7226</v>
      </c>
      <c r="GM2" s="10">
        <v>7171</v>
      </c>
      <c r="GN2" s="10">
        <v>6883</v>
      </c>
      <c r="GO2" s="10">
        <v>7054</v>
      </c>
      <c r="GP2" s="10">
        <v>7118</v>
      </c>
      <c r="GQ2" s="10">
        <v>6645</v>
      </c>
      <c r="GR2" s="10">
        <v>6626</v>
      </c>
      <c r="GS2" s="10">
        <v>6711</v>
      </c>
      <c r="GT2" s="10">
        <v>6998</v>
      </c>
      <c r="GU2" s="10">
        <v>6343</v>
      </c>
      <c r="GV2" s="10">
        <v>6530</v>
      </c>
      <c r="GW2" s="10">
        <v>6643</v>
      </c>
      <c r="GX2" s="10">
        <v>6598</v>
      </c>
      <c r="GY2" s="10">
        <v>6638</v>
      </c>
      <c r="GZ2" s="10">
        <v>6408</v>
      </c>
      <c r="HA2" s="10">
        <v>5936</v>
      </c>
      <c r="HB2" s="10">
        <v>5610</v>
      </c>
      <c r="HC2" s="10">
        <v>5139</v>
      </c>
      <c r="HD2" s="10">
        <v>5139</v>
      </c>
      <c r="HE2" s="10">
        <v>4833</v>
      </c>
      <c r="HF2" s="10">
        <v>4151</v>
      </c>
      <c r="HG2" s="10">
        <v>4332</v>
      </c>
      <c r="HH2" s="10">
        <v>4737</v>
      </c>
      <c r="HI2" s="10">
        <v>4541</v>
      </c>
      <c r="HJ2" s="10">
        <v>4580</v>
      </c>
      <c r="HK2" s="10">
        <v>4785</v>
      </c>
      <c r="HL2" s="10">
        <v>4606</v>
      </c>
      <c r="HM2" s="10">
        <v>4567</v>
      </c>
      <c r="HN2" s="10">
        <v>4569</v>
      </c>
      <c r="HO2" s="10">
        <v>4804</v>
      </c>
      <c r="HP2" s="10">
        <v>4781</v>
      </c>
      <c r="HQ2" s="10">
        <v>4916</v>
      </c>
      <c r="HR2" s="10">
        <v>4931</v>
      </c>
      <c r="HS2" s="10">
        <v>4931</v>
      </c>
      <c r="HT2" s="10">
        <v>4980</v>
      </c>
      <c r="HU2" s="10">
        <v>5115</v>
      </c>
      <c r="HV2" s="10">
        <v>4778</v>
      </c>
      <c r="HW2" s="10">
        <v>4752</v>
      </c>
      <c r="HX2" s="10">
        <v>4752</v>
      </c>
      <c r="HY2" s="10">
        <v>4869</v>
      </c>
      <c r="HZ2" s="10">
        <v>4876</v>
      </c>
      <c r="IA2" s="10">
        <v>4796</v>
      </c>
      <c r="IB2" s="10">
        <v>4796</v>
      </c>
      <c r="IC2" s="10">
        <v>4776</v>
      </c>
      <c r="ID2" s="10">
        <v>4918</v>
      </c>
      <c r="IE2" s="10">
        <v>5049</v>
      </c>
      <c r="IF2" s="10">
        <v>4381</v>
      </c>
      <c r="IG2" s="10">
        <v>4381</v>
      </c>
      <c r="IH2" s="10">
        <v>4493</v>
      </c>
      <c r="II2" s="10">
        <v>4603</v>
      </c>
      <c r="IJ2" s="10">
        <v>4735</v>
      </c>
      <c r="IK2" s="10">
        <v>4463</v>
      </c>
      <c r="IL2" s="10">
        <v>4463</v>
      </c>
      <c r="IM2" s="10">
        <v>4571</v>
      </c>
      <c r="IN2" s="10">
        <v>4877</v>
      </c>
      <c r="IO2" s="10">
        <v>4574</v>
      </c>
      <c r="IP2" s="10">
        <v>4574</v>
      </c>
      <c r="IQ2" s="10">
        <v>4552</v>
      </c>
      <c r="IR2" s="10">
        <v>4508</v>
      </c>
      <c r="IS2" s="10">
        <v>4458</v>
      </c>
      <c r="IT2" s="10">
        <v>4458</v>
      </c>
      <c r="IU2" s="10">
        <v>4458</v>
      </c>
      <c r="IV2" s="10">
        <v>4388</v>
      </c>
      <c r="IW2" s="10">
        <v>4320</v>
      </c>
      <c r="IX2" s="10">
        <v>4258</v>
      </c>
      <c r="IY2" s="10">
        <v>4242</v>
      </c>
      <c r="IZ2" s="10">
        <v>4083</v>
      </c>
      <c r="JA2" s="10">
        <v>5258</v>
      </c>
      <c r="JB2" s="10">
        <v>5207</v>
      </c>
      <c r="JC2" s="10">
        <v>5336</v>
      </c>
      <c r="JD2" s="10">
        <v>5999</v>
      </c>
      <c r="JE2" s="10">
        <v>5999</v>
      </c>
      <c r="JF2" s="10">
        <v>5941</v>
      </c>
      <c r="JG2" s="10">
        <v>5911</v>
      </c>
      <c r="JH2" s="10">
        <v>6026</v>
      </c>
      <c r="JI2" s="10">
        <v>6026</v>
      </c>
      <c r="JJ2" s="10">
        <v>6144</v>
      </c>
      <c r="JK2" s="10">
        <v>6275</v>
      </c>
      <c r="JL2" s="10">
        <v>6323</v>
      </c>
      <c r="JM2" s="10">
        <v>6413</v>
      </c>
      <c r="JN2" s="10">
        <v>6541</v>
      </c>
      <c r="JO2" s="10">
        <v>6618</v>
      </c>
      <c r="JP2" s="10">
        <v>6362</v>
      </c>
      <c r="JQ2" s="10">
        <v>6446</v>
      </c>
      <c r="JR2" s="10">
        <v>6363</v>
      </c>
      <c r="JS2" s="10">
        <v>6425</v>
      </c>
      <c r="JT2" s="10">
        <v>6482</v>
      </c>
      <c r="JU2" s="10">
        <v>6421</v>
      </c>
      <c r="JV2" s="10">
        <v>6304</v>
      </c>
      <c r="JW2" s="102">
        <v>6711</v>
      </c>
      <c r="JX2" s="475"/>
      <c r="JY2" s="24" t="s">
        <v>46</v>
      </c>
      <c r="JZ2" s="6" t="s">
        <v>47</v>
      </c>
      <c r="KA2" s="15"/>
      <c r="KB2" s="6" t="s">
        <v>46</v>
      </c>
      <c r="KC2" s="10">
        <v>6959</v>
      </c>
      <c r="KD2" s="10">
        <v>6767</v>
      </c>
      <c r="KE2" s="10">
        <v>6431</v>
      </c>
      <c r="KF2" s="10">
        <v>6315</v>
      </c>
      <c r="KG2" s="10">
        <v>6430</v>
      </c>
      <c r="KH2" s="10">
        <v>6627</v>
      </c>
      <c r="KI2" s="10">
        <v>6600</v>
      </c>
      <c r="KJ2" s="10">
        <v>6564</v>
      </c>
      <c r="KK2" s="122"/>
      <c r="KL2" s="6" t="s">
        <v>46</v>
      </c>
      <c r="KM2" s="10">
        <v>6639</v>
      </c>
      <c r="KN2" s="10">
        <v>6856</v>
      </c>
      <c r="KO2" s="10">
        <v>6942</v>
      </c>
      <c r="KP2" s="10">
        <v>6649</v>
      </c>
      <c r="KQ2" s="10">
        <v>6649</v>
      </c>
      <c r="KR2" s="10">
        <v>6751</v>
      </c>
      <c r="KS2" s="10">
        <v>6732</v>
      </c>
      <c r="KT2" s="10">
        <v>6761</v>
      </c>
      <c r="KU2" s="10">
        <v>6806</v>
      </c>
      <c r="KV2" s="10">
        <f>6806-847.96</f>
        <v>5958.04</v>
      </c>
      <c r="KW2" s="10">
        <f>6936-847.96</f>
        <v>6088.04</v>
      </c>
      <c r="KX2" s="10">
        <f>7018-847</f>
        <v>6171</v>
      </c>
      <c r="KY2" s="10">
        <f>6796-847</f>
        <v>5949</v>
      </c>
      <c r="KZ2" s="10">
        <f>6796-847</f>
        <v>5949</v>
      </c>
      <c r="LA2" s="10">
        <f>6796-847</f>
        <v>5949</v>
      </c>
      <c r="LB2" s="10">
        <f>6747-847</f>
        <v>5900</v>
      </c>
      <c r="LC2" s="10">
        <f>6491-847</f>
        <v>5644</v>
      </c>
      <c r="LD2" s="10">
        <f>5877-847.96</f>
        <v>5029.04</v>
      </c>
      <c r="LE2" s="10">
        <f>5877-847.96</f>
        <v>5029.04</v>
      </c>
      <c r="LF2" s="10">
        <f>5953-847.96</f>
        <v>5105.04</v>
      </c>
      <c r="LG2" s="10">
        <f>5774-847.96</f>
        <v>4926.04</v>
      </c>
      <c r="LH2" s="10">
        <f>5821-847.96</f>
        <v>4973.04</v>
      </c>
      <c r="LI2" s="10">
        <f>6170-847.96</f>
        <v>5322.04</v>
      </c>
      <c r="LJ2" s="10">
        <f>6170-847.96</f>
        <v>5322.04</v>
      </c>
      <c r="LK2" s="10">
        <f>6280-847.96</f>
        <v>5432.04</v>
      </c>
      <c r="LL2" s="10">
        <f>6495-847.96</f>
        <v>5647.04</v>
      </c>
      <c r="LM2" s="10">
        <f>6389-847.96</f>
        <v>5541.04</v>
      </c>
      <c r="LN2" s="10">
        <f>6350-847.96</f>
        <v>5502.04</v>
      </c>
      <c r="LO2" s="10">
        <f>6350-847.96</f>
        <v>5502.04</v>
      </c>
      <c r="LP2" s="10">
        <f>6632-847.96</f>
        <v>5784.04</v>
      </c>
      <c r="LQ2" s="10">
        <f>6785-847.96</f>
        <v>5937.04</v>
      </c>
      <c r="LR2" s="10">
        <f>6906-847.96</f>
        <v>6058.04</v>
      </c>
      <c r="LS2" s="10">
        <f>7197-847.96</f>
        <v>6349.04</v>
      </c>
      <c r="LT2" s="10">
        <f>7197-847.96</f>
        <v>6349.04</v>
      </c>
      <c r="LU2" s="10">
        <f>7255-847.96</f>
        <v>6407.04</v>
      </c>
      <c r="LV2" s="10">
        <f>7750-847.96</f>
        <v>6902.04</v>
      </c>
      <c r="LW2" s="10">
        <f>7183-847.96</f>
        <v>6335.04</v>
      </c>
      <c r="LX2" s="10">
        <f>7099-847.96</f>
        <v>6251.04</v>
      </c>
      <c r="LY2" s="10">
        <f>6926-847.96</f>
        <v>6078.04</v>
      </c>
      <c r="LZ2" s="10">
        <f>6926-847.96</f>
        <v>6078.04</v>
      </c>
      <c r="MA2" s="10">
        <f>6860-847.96</f>
        <v>6012.04</v>
      </c>
      <c r="MB2" s="10">
        <f>7116-847.96</f>
        <v>6268.04</v>
      </c>
      <c r="MC2" s="10">
        <f>7355-847.96</f>
        <v>6507.04</v>
      </c>
      <c r="MD2" s="10">
        <f>7569-847.96</f>
        <v>6721.04</v>
      </c>
      <c r="ME2" s="10">
        <f>7552-847.96</f>
        <v>6704.04</v>
      </c>
      <c r="MF2" s="10">
        <f>7511</f>
        <v>7511</v>
      </c>
      <c r="MG2" s="10">
        <f>6666</f>
        <v>6666</v>
      </c>
      <c r="MH2" s="10">
        <f>6668</f>
        <v>6668</v>
      </c>
      <c r="MI2" s="10">
        <f>7215</f>
        <v>7215</v>
      </c>
      <c r="MJ2" s="10">
        <f>7310</f>
        <v>7310</v>
      </c>
      <c r="MK2" s="10">
        <f>7129</f>
        <v>7129</v>
      </c>
      <c r="ML2" s="10">
        <f>7320-286</f>
        <v>7034</v>
      </c>
      <c r="MM2" s="10">
        <f>7733-281</f>
        <v>7452</v>
      </c>
      <c r="MN2" s="10">
        <f>7095-281.4</f>
        <v>6813.6</v>
      </c>
      <c r="MO2" s="10">
        <f>7085-281.4</f>
        <v>6803.6</v>
      </c>
      <c r="MP2" s="10">
        <f>6974-281.4</f>
        <v>6692.6</v>
      </c>
      <c r="MQ2" s="10">
        <f>7886-256</f>
        <v>7630</v>
      </c>
      <c r="MR2" s="10">
        <f>7668-256</f>
        <v>7412</v>
      </c>
      <c r="MS2" s="10">
        <f>7388-256</f>
        <v>7132</v>
      </c>
      <c r="MT2" s="10">
        <f>7210-256</f>
        <v>6954</v>
      </c>
      <c r="MU2" s="10">
        <f>7174-242</f>
        <v>6932</v>
      </c>
      <c r="MV2" s="10">
        <f>7403-242</f>
        <v>7161</v>
      </c>
      <c r="MW2" s="10">
        <f>7670-242</f>
        <v>7428</v>
      </c>
      <c r="MX2" s="10">
        <f>7308-242</f>
        <v>7066</v>
      </c>
      <c r="MY2" s="10">
        <f>6937-242</f>
        <v>6695</v>
      </c>
      <c r="MZ2" s="10">
        <f>7577-234</f>
        <v>7343</v>
      </c>
      <c r="NA2" s="10">
        <f>7312-234</f>
        <v>7078</v>
      </c>
      <c r="NB2" s="10">
        <f>6916-234</f>
        <v>6682</v>
      </c>
      <c r="NC2" s="10">
        <f>7417-234</f>
        <v>7183</v>
      </c>
      <c r="ND2" s="10">
        <f>7273-234</f>
        <v>7039</v>
      </c>
      <c r="NE2" s="10">
        <f>6868-226</f>
        <v>6642</v>
      </c>
      <c r="NF2" s="10">
        <f>6937-226</f>
        <v>6711</v>
      </c>
      <c r="NG2" s="10">
        <f>6746-226</f>
        <v>6520</v>
      </c>
      <c r="NH2" s="10">
        <f>7166-219.45</f>
        <v>6946.55</v>
      </c>
      <c r="NI2" s="10">
        <f>7197-217</f>
        <v>6980</v>
      </c>
      <c r="NJ2" s="10">
        <f>7187-217</f>
        <v>6970</v>
      </c>
      <c r="NK2" s="10">
        <f>7564-217</f>
        <v>7347</v>
      </c>
      <c r="NL2" s="10">
        <f>7758-217</f>
        <v>7541</v>
      </c>
      <c r="NM2" s="10">
        <f>8055-217</f>
        <v>7838</v>
      </c>
      <c r="NN2" s="10">
        <f>8085-204.975</f>
        <v>7880.0249999999996</v>
      </c>
      <c r="NO2" s="10">
        <f>7730-204.975</f>
        <v>7525.0249999999996</v>
      </c>
      <c r="NP2" s="10">
        <f>7536-204.975</f>
        <v>7331.0249999999996</v>
      </c>
      <c r="NQ2" s="10">
        <f>7578-204.975</f>
        <v>7373.0249999999996</v>
      </c>
      <c r="NR2" s="10">
        <f>7796-204.975</f>
        <v>7591.0249999999996</v>
      </c>
      <c r="NS2" s="10">
        <f>7117-192.225</f>
        <v>6924.7749999999996</v>
      </c>
      <c r="NT2" s="10">
        <f>7160-192.225</f>
        <v>6967.7749999999996</v>
      </c>
      <c r="NU2" s="10">
        <f>7057-192.225</f>
        <v>6864.7749999999996</v>
      </c>
      <c r="NV2" s="10">
        <f>6830-192.225</f>
        <v>6637.7749999999996</v>
      </c>
      <c r="NW2" s="10">
        <f>6856-192.225</f>
        <v>6663.7749999999996</v>
      </c>
      <c r="NX2" s="10">
        <f>6910-188.1</f>
        <v>6721.9</v>
      </c>
      <c r="NY2" s="10">
        <f>6513-188.1</f>
        <v>6324.9</v>
      </c>
      <c r="NZ2" s="10">
        <f>6511-188.1</f>
        <v>6322.9</v>
      </c>
      <c r="OA2" s="10">
        <f>6329-188.1</f>
        <v>6140.9</v>
      </c>
      <c r="OB2" s="10">
        <f>5798-164.975</f>
        <v>5633.0249999999996</v>
      </c>
      <c r="OC2" s="10">
        <f>5309-164.975</f>
        <v>5144.0249999999996</v>
      </c>
      <c r="OD2" s="10">
        <f>5235-164.975</f>
        <v>5070.0249999999996</v>
      </c>
      <c r="OE2" s="10">
        <f>5235-164.975</f>
        <v>5070.0249999999996</v>
      </c>
      <c r="OF2" s="10">
        <f>5212-164.975</f>
        <v>5047.0249999999996</v>
      </c>
      <c r="OG2" s="10">
        <f>5610-146.275</f>
        <v>5463.7250000000004</v>
      </c>
      <c r="OH2" s="10">
        <f>5561-146.275</f>
        <v>5414.7250000000004</v>
      </c>
      <c r="OI2" s="10">
        <f>5540-146.275</f>
        <v>5393.7250000000004</v>
      </c>
      <c r="OJ2" s="10">
        <f>5406-146.275</f>
        <v>5259.7250000000004</v>
      </c>
      <c r="OK2" s="10">
        <f>5679-114.4</f>
        <v>5564.6</v>
      </c>
      <c r="OL2" s="10">
        <f>5478-114.4</f>
        <v>5363.6</v>
      </c>
      <c r="OM2" s="10">
        <f>5655-114.4</f>
        <v>5540.6</v>
      </c>
      <c r="ON2" s="10">
        <f>5656-114.025</f>
        <v>5541.9750000000004</v>
      </c>
      <c r="OO2" s="10">
        <f>5705-114.025</f>
        <v>5590.9750000000004</v>
      </c>
      <c r="OP2" s="10">
        <f>5733.36-114.025</f>
        <v>5619.335</v>
      </c>
      <c r="OQ2" s="10">
        <f>5837.14-114.025</f>
        <v>5723.1150000000007</v>
      </c>
      <c r="OR2" s="10">
        <f>5981.9-114.025</f>
        <v>5867.875</v>
      </c>
      <c r="OS2" s="10">
        <f>5745.92-104.05</f>
        <v>5641.87</v>
      </c>
      <c r="OT2" s="10">
        <f>5737.68-104.05</f>
        <v>5633.63</v>
      </c>
      <c r="OU2" s="10">
        <f>5589.55-104.05</f>
        <v>5485.5</v>
      </c>
      <c r="OV2" s="10">
        <f>5420.4-104.05</f>
        <v>5316.3499999999995</v>
      </c>
      <c r="OW2" s="10">
        <f>5467.27</f>
        <v>5467.27</v>
      </c>
      <c r="OX2" s="10">
        <f>5628.16</f>
        <v>5628.16</v>
      </c>
      <c r="OY2" s="10">
        <f>5727.85</f>
        <v>5727.85</v>
      </c>
      <c r="OZ2" s="10">
        <f>5647.16</f>
        <v>5647.16</v>
      </c>
      <c r="PA2" s="10">
        <f>5676.86</f>
        <v>5676.86</v>
      </c>
      <c r="PB2" s="10">
        <f>5757.27</f>
        <v>5757.27</v>
      </c>
      <c r="PC2" s="10">
        <f>5741.715</f>
        <v>5741.7150000000001</v>
      </c>
      <c r="PD2" s="10">
        <f>5686.765</f>
        <v>5686.7650000000003</v>
      </c>
      <c r="PE2" s="10">
        <f>5951.435</f>
        <v>5951.4350000000004</v>
      </c>
      <c r="PF2" s="10">
        <f>6258.555</f>
        <v>6258.5550000000003</v>
      </c>
      <c r="PG2" s="10">
        <f>6400.835</f>
        <v>6400.835</v>
      </c>
      <c r="PH2" s="10">
        <f>6612.22</f>
        <v>6612.22</v>
      </c>
      <c r="PI2" s="10">
        <f>6627.12</f>
        <v>6627.12</v>
      </c>
      <c r="PJ2" s="10">
        <f>6835.05</f>
        <v>6835.05</v>
      </c>
      <c r="PK2" s="10">
        <f>6764.63</f>
        <v>6764.63</v>
      </c>
      <c r="PL2" s="10">
        <f>7488.755</f>
        <v>7488.7550000000001</v>
      </c>
      <c r="PM2" s="10">
        <f>7399.205</f>
        <v>7399.2049999999999</v>
      </c>
      <c r="PN2" s="10">
        <f>7534.585</f>
        <v>7534.585</v>
      </c>
      <c r="PO2" s="10">
        <f>7329.075</f>
        <v>7329.0749999999998</v>
      </c>
      <c r="PP2" s="10">
        <f>7460.235</f>
        <v>7460.2349999999997</v>
      </c>
      <c r="PQ2" s="10">
        <f>7523.825</f>
        <v>7523.8249999999998</v>
      </c>
      <c r="PR2" s="10">
        <f>7513.075</f>
        <v>7513.0749999999998</v>
      </c>
      <c r="PS2" s="10">
        <f>7619.535</f>
        <v>7619.5349999999999</v>
      </c>
      <c r="PT2" s="10">
        <f>7380.795</f>
        <v>7380.7950000000001</v>
      </c>
      <c r="PU2" s="10">
        <f>7432.355</f>
        <v>7432.3549999999996</v>
      </c>
      <c r="PV2" s="10">
        <f>7551.765</f>
        <v>7551.7650000000003</v>
      </c>
      <c r="PW2" s="10">
        <f>7416.885</f>
        <v>7416.8850000000002</v>
      </c>
      <c r="PX2" s="10">
        <f>7220.97</f>
        <v>7220.97</v>
      </c>
      <c r="PY2" s="10">
        <f>7220.97</f>
        <v>7220.97</v>
      </c>
      <c r="PZ2" s="10">
        <f>7464</f>
        <v>7464</v>
      </c>
      <c r="QA2" s="10">
        <f>7395.92</f>
        <v>7395.92</v>
      </c>
      <c r="QB2" s="10">
        <f>7427.99</f>
        <v>7427.99</v>
      </c>
      <c r="QC2" s="10">
        <f>7431.425</f>
        <v>7431.4250000000002</v>
      </c>
      <c r="QD2" s="10">
        <f>7383.525</f>
        <v>7383.5249999999996</v>
      </c>
      <c r="QE2" s="10">
        <f>7548.185</f>
        <v>7548.1850000000004</v>
      </c>
      <c r="QF2" s="10">
        <f>7517.695</f>
        <v>7517.6949999999997</v>
      </c>
      <c r="QG2" s="10">
        <f>6942.345</f>
        <v>6942.3450000000003</v>
      </c>
      <c r="QH2" s="10">
        <f>6984.305</f>
        <v>6984.3050000000003</v>
      </c>
      <c r="QI2" s="10">
        <f>6851.765</f>
        <v>6851.7650000000003</v>
      </c>
      <c r="QJ2" s="10">
        <f>6732.855</f>
        <v>6732.8549999999996</v>
      </c>
      <c r="QK2" s="10">
        <f>6414.805</f>
        <v>6414.8050000000003</v>
      </c>
      <c r="QL2" s="10">
        <f>6414.405</f>
        <v>6414.4049999999997</v>
      </c>
      <c r="QM2" s="10">
        <f>6412.405</f>
        <v>6412.4049999999997</v>
      </c>
      <c r="QN2" s="10">
        <f>6316.765</f>
        <v>6316.7650000000003</v>
      </c>
      <c r="QO2" s="10">
        <f>6208.505</f>
        <v>6208.5050000000001</v>
      </c>
      <c r="QP2" s="10">
        <f>5824.31</f>
        <v>5824.31</v>
      </c>
      <c r="QQ2" s="10">
        <f>5824.31</f>
        <v>5824.31</v>
      </c>
      <c r="QR2" s="10">
        <f>5833.59</f>
        <v>5833.59</v>
      </c>
      <c r="QS2" s="10">
        <f>5908.32</f>
        <v>5908.32</v>
      </c>
      <c r="QT2" s="10">
        <f>5993.56</f>
        <v>5993.56</v>
      </c>
      <c r="QU2" s="10">
        <f>6170.505</f>
        <v>6170.5050000000001</v>
      </c>
      <c r="QV2" s="10">
        <f>6148.945</f>
        <v>6148.9449999999997</v>
      </c>
      <c r="QW2" s="10">
        <f>6234.045</f>
        <v>6234.0450000000001</v>
      </c>
      <c r="QX2" s="10">
        <f>6163.915</f>
        <v>6163.915</v>
      </c>
      <c r="QY2" s="10">
        <f>5731.995</f>
        <v>5731.9949999999999</v>
      </c>
      <c r="QZ2" s="10">
        <f>5732.065</f>
        <v>5732.0649999999996</v>
      </c>
      <c r="RA2" s="10">
        <f>5899.745</f>
        <v>5899.7449999999999</v>
      </c>
      <c r="RB2" s="10">
        <f>5904.205</f>
        <v>5904.2049999999999</v>
      </c>
      <c r="RC2" s="10">
        <f>5943.995</f>
        <v>5943.9949999999999</v>
      </c>
      <c r="RD2" s="10">
        <f>5991.7</f>
        <v>5991.7</v>
      </c>
      <c r="RE2" s="10">
        <f>6030.97</f>
        <v>6030.97</v>
      </c>
      <c r="RF2" s="10">
        <f>6315.97</f>
        <v>6315.97</v>
      </c>
      <c r="RG2" s="10">
        <f>6417.79</f>
        <v>6417.79</v>
      </c>
      <c r="RH2" s="10">
        <f>6326.58</f>
        <v>6326.58</v>
      </c>
      <c r="RI2" s="10">
        <f>6104.11</f>
        <v>6104.11</v>
      </c>
      <c r="RJ2" s="10">
        <f>6059.53</f>
        <v>6059.53</v>
      </c>
      <c r="RK2" s="10">
        <f>6111.5</f>
        <v>6111.5</v>
      </c>
      <c r="RL2" s="10">
        <f>6074.86</f>
        <v>6074.86</v>
      </c>
      <c r="RM2" s="10">
        <f>6200.85</f>
        <v>6200.85</v>
      </c>
      <c r="RN2" s="10">
        <f>5959.75</f>
        <v>5959.75</v>
      </c>
      <c r="RO2" s="10">
        <f>5961.3</f>
        <v>5961.3</v>
      </c>
      <c r="RP2" s="10">
        <f>5942.64</f>
        <v>5942.64</v>
      </c>
      <c r="RQ2" s="10">
        <f>5822.74</f>
        <v>5822.74</v>
      </c>
      <c r="RR2" s="10">
        <f>5799.66</f>
        <v>5799.66</v>
      </c>
      <c r="RS2" s="10">
        <f>6014.78</f>
        <v>6014.78</v>
      </c>
      <c r="RT2" s="10">
        <f>6188.63</f>
        <v>6188.63</v>
      </c>
      <c r="RU2" s="10">
        <f>6388.64</f>
        <v>6388.64</v>
      </c>
      <c r="RV2" s="10">
        <f>6532.79</f>
        <v>6532.79</v>
      </c>
      <c r="RW2" s="10">
        <f>6959.27</f>
        <v>6959.27</v>
      </c>
      <c r="RX2" s="10">
        <f>6612.345</f>
        <v>6612.3450000000003</v>
      </c>
      <c r="RY2" s="10">
        <f>6669.115</f>
        <v>6669.1149999999998</v>
      </c>
      <c r="RZ2" s="10">
        <f>6604.885</f>
        <v>6604.8850000000002</v>
      </c>
      <c r="SA2" s="10">
        <f>6558.265</f>
        <v>6558.2650000000003</v>
      </c>
      <c r="SB2" s="10">
        <f>6688.525</f>
        <v>6688.5249999999996</v>
      </c>
      <c r="SC2" s="10">
        <f>6476.89</f>
        <v>6476.89</v>
      </c>
      <c r="SD2" s="10">
        <f>6476.89</f>
        <v>6476.89</v>
      </c>
      <c r="SE2" s="10">
        <f>6329.55</f>
        <v>6329.55</v>
      </c>
      <c r="SF2" s="10">
        <f>5923.31</f>
        <v>5923.31</v>
      </c>
      <c r="SG2" s="10">
        <f>5579.69</f>
        <v>5579.69</v>
      </c>
      <c r="SH2" s="10">
        <v>5332.41</v>
      </c>
      <c r="SI2" s="10">
        <v>5260.36</v>
      </c>
      <c r="SJ2" s="10">
        <v>5704.5349999999999</v>
      </c>
      <c r="SK2" s="10">
        <v>5569.375</v>
      </c>
      <c r="SL2" s="10">
        <v>5625.4650000000001</v>
      </c>
      <c r="SM2" s="10">
        <v>5512.1449999999995</v>
      </c>
      <c r="SN2" s="10">
        <v>5715.9749999999995</v>
      </c>
      <c r="SO2" s="10">
        <v>5800.2649999999994</v>
      </c>
      <c r="SP2" s="10">
        <v>5494.0249999999996</v>
      </c>
      <c r="SQ2" s="10">
        <v>5626.8249999999998</v>
      </c>
      <c r="SR2" s="10">
        <v>5739.5450000000001</v>
      </c>
      <c r="SS2" s="10">
        <v>5918.4449999999997</v>
      </c>
      <c r="ST2" s="10">
        <v>5894.8649999999998</v>
      </c>
      <c r="SU2" s="10">
        <v>5776.585</v>
      </c>
      <c r="SV2" s="10">
        <v>5875.3850000000002</v>
      </c>
      <c r="SW2" s="10">
        <v>6020.8249999999998</v>
      </c>
      <c r="SX2" s="10">
        <v>6478.0199999999995</v>
      </c>
      <c r="SY2" s="10">
        <v>6478.0199999999995</v>
      </c>
      <c r="SZ2" s="10">
        <v>6365.51</v>
      </c>
      <c r="TA2" s="10">
        <v>6382.57</v>
      </c>
      <c r="TB2" s="10">
        <v>6545.44</v>
      </c>
      <c r="TC2" s="10">
        <v>6730.8450000000003</v>
      </c>
      <c r="TD2" s="10">
        <v>6739.9645</v>
      </c>
      <c r="TE2" s="10">
        <v>6666.2191000000012</v>
      </c>
      <c r="TF2" s="10">
        <v>7588.1158000000014</v>
      </c>
      <c r="TG2" s="10">
        <v>7850.4932000000017</v>
      </c>
      <c r="TH2" s="10">
        <v>7989.647100000002</v>
      </c>
      <c r="TI2" s="10">
        <v>7980.232500000001</v>
      </c>
      <c r="TJ2" s="10">
        <v>8115.7653000000009</v>
      </c>
      <c r="TK2" s="10">
        <v>7931.9880999999996</v>
      </c>
      <c r="TL2" s="10">
        <v>7866.0278999999991</v>
      </c>
      <c r="TM2" s="10">
        <v>7869.1760999999988</v>
      </c>
      <c r="TN2" s="10">
        <v>7933.8887000000004</v>
      </c>
      <c r="TO2" s="198">
        <v>8626.1785</v>
      </c>
      <c r="TP2" s="198">
        <v>8673.4057000000012</v>
      </c>
      <c r="TQ2" s="198">
        <v>9500</v>
      </c>
      <c r="TR2" s="198">
        <v>9452.6291000000001</v>
      </c>
      <c r="TS2" s="198">
        <v>9482.9991000000009</v>
      </c>
      <c r="TT2" s="198">
        <v>9500</v>
      </c>
      <c r="TU2" s="198">
        <v>9500</v>
      </c>
      <c r="TV2" s="198">
        <v>9500</v>
      </c>
      <c r="TW2" s="10">
        <v>9500</v>
      </c>
      <c r="TX2" s="10">
        <v>9500</v>
      </c>
      <c r="TY2" s="10">
        <v>9500</v>
      </c>
      <c r="TZ2" s="10">
        <v>9500</v>
      </c>
      <c r="UA2" s="10">
        <v>9500</v>
      </c>
      <c r="UB2" s="10">
        <v>9500</v>
      </c>
      <c r="UC2" s="10"/>
      <c r="UD2" s="10"/>
      <c r="UE2" s="10"/>
      <c r="UF2" s="10">
        <v>9279.7824999999993</v>
      </c>
      <c r="UG2" s="10">
        <v>9318.8696999999993</v>
      </c>
      <c r="UH2" s="10">
        <v>9451.5293999999994</v>
      </c>
      <c r="UI2" s="10">
        <v>9353.1111999999994</v>
      </c>
      <c r="UJ2" s="10">
        <v>9483.1997000000028</v>
      </c>
      <c r="UK2" s="10">
        <v>9338.9114000000009</v>
      </c>
      <c r="UL2" s="10">
        <v>9447.5000000000018</v>
      </c>
      <c r="UM2" s="10">
        <v>9431.946100000001</v>
      </c>
      <c r="UN2" s="10">
        <v>9420.3525999999983</v>
      </c>
      <c r="UO2" s="10">
        <v>9287.0241000000024</v>
      </c>
      <c r="UP2" s="10">
        <v>9146</v>
      </c>
      <c r="UQ2" s="10">
        <v>9336.2100000000028</v>
      </c>
      <c r="UR2" s="10">
        <v>9281.4097000000002</v>
      </c>
      <c r="US2" s="10">
        <v>9281.4097000000002</v>
      </c>
      <c r="UT2" s="202"/>
      <c r="UU2" s="87" t="s">
        <v>63</v>
      </c>
      <c r="UV2" s="10">
        <f>UX59</f>
        <v>5558.7183473000014</v>
      </c>
      <c r="UW2" s="227">
        <f t="shared" ref="UW2:UW7" si="0">IF((UV2/VC2)&gt;1,1,(UV2/VC2))</f>
        <v>0.53968139294174766</v>
      </c>
      <c r="UX2" s="126">
        <v>0</v>
      </c>
      <c r="UY2" s="127"/>
      <c r="UZ2" s="10">
        <v>0</v>
      </c>
      <c r="VA2" s="87" t="s">
        <v>63</v>
      </c>
      <c r="VB2" s="8" t="s">
        <v>47</v>
      </c>
      <c r="VC2" s="128">
        <f>'All WH'!AIR2</f>
        <v>10300</v>
      </c>
      <c r="VD2" s="7">
        <f>'All WH'!AIS2</f>
        <v>60000</v>
      </c>
      <c r="VF2" t="s">
        <v>111</v>
      </c>
      <c r="VG2" t="s">
        <v>112</v>
      </c>
      <c r="VI2"/>
      <c r="VJ2"/>
      <c r="VK2"/>
      <c r="VL2"/>
      <c r="VP2" s="83" t="s">
        <v>44</v>
      </c>
      <c r="VQ2" s="129" t="s">
        <v>104</v>
      </c>
      <c r="VR2" s="83" t="s">
        <v>78</v>
      </c>
      <c r="VS2" s="83" t="s">
        <v>105</v>
      </c>
      <c r="VT2" s="83" t="s">
        <v>106</v>
      </c>
      <c r="VU2" s="83" t="s">
        <v>107</v>
      </c>
      <c r="VV2" s="83" t="s">
        <v>44</v>
      </c>
      <c r="VW2" s="83" t="s">
        <v>62</v>
      </c>
      <c r="VX2" s="83" t="s">
        <v>45</v>
      </c>
      <c r="VY2" s="83" t="s">
        <v>108</v>
      </c>
    </row>
    <row r="3" spans="1:603" ht="30" x14ac:dyDescent="0.25">
      <c r="A3" s="6" t="s">
        <v>48</v>
      </c>
      <c r="B3" s="8" t="s">
        <v>47</v>
      </c>
      <c r="C3" s="7">
        <v>8000</v>
      </c>
      <c r="D3" s="10">
        <f>Sheet2!E3*0+(8000*0.9-9000*0.125)</f>
        <v>6075</v>
      </c>
      <c r="E3" s="10">
        <f t="shared" ref="E3:V3" si="1">D3</f>
        <v>6075</v>
      </c>
      <c r="F3" s="10">
        <f t="shared" si="1"/>
        <v>6075</v>
      </c>
      <c r="G3" s="10">
        <f t="shared" si="1"/>
        <v>6075</v>
      </c>
      <c r="H3" s="10">
        <f t="shared" si="1"/>
        <v>6075</v>
      </c>
      <c r="I3" s="10">
        <f t="shared" si="1"/>
        <v>6075</v>
      </c>
      <c r="J3" s="10">
        <f t="shared" si="1"/>
        <v>6075</v>
      </c>
      <c r="K3" s="10">
        <f t="shared" si="1"/>
        <v>6075</v>
      </c>
      <c r="L3" s="10">
        <f t="shared" si="1"/>
        <v>6075</v>
      </c>
      <c r="M3" s="10">
        <f t="shared" si="1"/>
        <v>6075</v>
      </c>
      <c r="N3" s="10">
        <f t="shared" si="1"/>
        <v>6075</v>
      </c>
      <c r="O3" s="10">
        <f t="shared" si="1"/>
        <v>6075</v>
      </c>
      <c r="P3" s="10">
        <f t="shared" si="1"/>
        <v>6075</v>
      </c>
      <c r="Q3" s="10">
        <f t="shared" si="1"/>
        <v>6075</v>
      </c>
      <c r="R3" s="10">
        <f t="shared" si="1"/>
        <v>6075</v>
      </c>
      <c r="S3" s="10">
        <f t="shared" si="1"/>
        <v>6075</v>
      </c>
      <c r="T3" s="10">
        <f t="shared" si="1"/>
        <v>6075</v>
      </c>
      <c r="U3" s="10">
        <f t="shared" si="1"/>
        <v>6075</v>
      </c>
      <c r="V3" s="10">
        <f t="shared" si="1"/>
        <v>6075</v>
      </c>
      <c r="W3" s="10"/>
      <c r="X3" s="10"/>
      <c r="Y3" s="10">
        <f>V3</f>
        <v>6075</v>
      </c>
      <c r="Z3" s="10">
        <f t="shared" ref="Z3:AR3" si="2">Y3</f>
        <v>6075</v>
      </c>
      <c r="AA3" s="10">
        <f t="shared" si="2"/>
        <v>6075</v>
      </c>
      <c r="AB3" s="10">
        <f t="shared" si="2"/>
        <v>6075</v>
      </c>
      <c r="AC3" s="10">
        <f t="shared" si="2"/>
        <v>6075</v>
      </c>
      <c r="AD3" s="10">
        <f t="shared" si="2"/>
        <v>6075</v>
      </c>
      <c r="AE3" s="10">
        <f t="shared" si="2"/>
        <v>6075</v>
      </c>
      <c r="AF3" s="10">
        <f t="shared" si="2"/>
        <v>6075</v>
      </c>
      <c r="AG3" s="10">
        <f t="shared" si="2"/>
        <v>6075</v>
      </c>
      <c r="AH3" s="10">
        <f t="shared" si="2"/>
        <v>6075</v>
      </c>
      <c r="AI3" s="10">
        <f t="shared" si="2"/>
        <v>6075</v>
      </c>
      <c r="AJ3" s="10">
        <f t="shared" si="2"/>
        <v>6075</v>
      </c>
      <c r="AK3" s="10">
        <f t="shared" si="2"/>
        <v>6075</v>
      </c>
      <c r="AL3" s="10">
        <f t="shared" si="2"/>
        <v>6075</v>
      </c>
      <c r="AM3" s="10">
        <f t="shared" si="2"/>
        <v>6075</v>
      </c>
      <c r="AN3" s="10">
        <f t="shared" si="2"/>
        <v>6075</v>
      </c>
      <c r="AO3" s="10">
        <f t="shared" si="2"/>
        <v>6075</v>
      </c>
      <c r="AP3" s="10">
        <f t="shared" si="2"/>
        <v>6075</v>
      </c>
      <c r="AQ3" s="10">
        <f t="shared" si="2"/>
        <v>6075</v>
      </c>
      <c r="AR3" s="10">
        <f t="shared" si="2"/>
        <v>6075</v>
      </c>
      <c r="AS3" s="10">
        <f>11030-AS5-(12000*0.125)</f>
        <v>8558</v>
      </c>
      <c r="AT3" s="10">
        <f>11097-AT5-(12000*0.125)</f>
        <v>8507</v>
      </c>
      <c r="AU3" s="10">
        <f>11096-AU5-(12000*0.125)</f>
        <v>8537</v>
      </c>
      <c r="AV3" s="10">
        <f>10939-AV5-(12000*0.125)</f>
        <v>8441</v>
      </c>
      <c r="AW3" s="10">
        <f>9506-AW5-(12000*0.125)</f>
        <v>7008</v>
      </c>
      <c r="AX3" s="10">
        <f>9300-AX5-(12000*0.125)</f>
        <v>6817</v>
      </c>
      <c r="AY3" s="10">
        <f>9477-AY5-(12000*0.125)</f>
        <v>6994</v>
      </c>
      <c r="AZ3" s="10">
        <f>9450-AZ5-(12000*0.125)</f>
        <v>6985</v>
      </c>
      <c r="BA3" s="10">
        <f>9499-BA5-(12000*0.125)</f>
        <v>6907</v>
      </c>
      <c r="BB3" s="10">
        <f>9769-BB5-(12000*0.125)</f>
        <v>7149</v>
      </c>
      <c r="BC3" s="10">
        <f>9929-BC5-(12000*0.125)</f>
        <v>7313</v>
      </c>
      <c r="BD3" s="10">
        <f>9693-BD5-(2000*0.125)</f>
        <v>8384</v>
      </c>
      <c r="BE3" s="10">
        <f>9694-BE5-(2000*0.125)</f>
        <v>8439</v>
      </c>
      <c r="BF3" s="10">
        <f>9451-BF5-(2000*0.125*0)</f>
        <v>8502</v>
      </c>
      <c r="BG3" s="10">
        <f>9381-BG5-(2000*0.125*0)</f>
        <v>8459</v>
      </c>
      <c r="BH3" s="10">
        <f>10124-BH5-(2000*0.125*0)</f>
        <v>9200</v>
      </c>
      <c r="BI3" s="10">
        <f>10172-BI5-(2000*0.125*0)</f>
        <v>9286</v>
      </c>
      <c r="BJ3" s="10">
        <f>10226-BJ5-(2000*0.125*0)</f>
        <v>9336</v>
      </c>
      <c r="BK3" s="10">
        <f>10122-BK5-(2000*0.125*0)</f>
        <v>9241</v>
      </c>
      <c r="BL3" s="10">
        <f>10140-BL5-(2000*0.125*0)</f>
        <v>9163</v>
      </c>
      <c r="BM3" s="10">
        <f>10184-BM5-(2000*0.125*0)</f>
        <v>9204</v>
      </c>
      <c r="BN3" s="10">
        <f>10398-BN5-(2000*0.125*0)</f>
        <v>9455</v>
      </c>
      <c r="BO3" s="10">
        <f>10138-BO5-(2000*0.125*0)</f>
        <v>9196</v>
      </c>
      <c r="BP3" s="10">
        <f>10210-BP5-(2000*0.125*0)</f>
        <v>9268</v>
      </c>
      <c r="BQ3" s="10">
        <f>10328-BQ5-(2000*0.125*0)</f>
        <v>9375</v>
      </c>
      <c r="BR3" s="10">
        <f>10116-BR5-(2000*0.125*0)</f>
        <v>9156</v>
      </c>
      <c r="BS3" s="10">
        <f>10106-BS5-(2000*0.125*0)</f>
        <v>9131</v>
      </c>
      <c r="BT3" s="10">
        <f>9980-BT5-(2000*0.125*0)</f>
        <v>9001</v>
      </c>
      <c r="BU3" s="10">
        <f>9501-BU5-(2000*0.125*0)</f>
        <v>8549</v>
      </c>
      <c r="BV3" s="10">
        <f>9493-BV5-(2000*0.125*0)</f>
        <v>8552</v>
      </c>
      <c r="BW3" s="10">
        <f>9645-BW5-(2000*0.125*0)</f>
        <v>8686</v>
      </c>
      <c r="BX3" s="10">
        <f>9531-BX5-(2000*0.125*0)</f>
        <v>8569</v>
      </c>
      <c r="BY3" s="10">
        <f>9584-BY5-(2000*0.125*0)</f>
        <v>8597</v>
      </c>
      <c r="BZ3" s="10">
        <v>8472</v>
      </c>
      <c r="CA3" s="10">
        <f>9442-CA5-(2000*0.125*0)</f>
        <v>8539</v>
      </c>
      <c r="CB3" s="10">
        <f>9439-CB5-(2000*0.125*0)</f>
        <v>8530</v>
      </c>
      <c r="CC3" s="10">
        <f>9651-CC5-(2000*0.125*0)</f>
        <v>8754</v>
      </c>
      <c r="CD3" s="10">
        <f>9650-CD5-(2000*0.125*0)</f>
        <v>8772</v>
      </c>
      <c r="CE3" s="10">
        <f>9427-CE5-(2000*0.125*0)</f>
        <v>8554</v>
      </c>
      <c r="CF3" s="10">
        <f>9432-CF5-(2000*0.125*0)</f>
        <v>8562</v>
      </c>
      <c r="CG3" s="10">
        <f>9487-CG5-(2000*0.125*0)</f>
        <v>8622</v>
      </c>
      <c r="CH3" s="10">
        <f>9434-CH5-(2000*0.125*0)</f>
        <v>8564</v>
      </c>
      <c r="CI3" s="10">
        <f>9434-CI5-(2000*0.125*0)</f>
        <v>8567</v>
      </c>
      <c r="CJ3" s="10">
        <f>9288-CJ5-(2000*0.125*0)</f>
        <v>8418</v>
      </c>
      <c r="CK3" s="10">
        <f>9437-CK5-(2000*0.125*0)</f>
        <v>8557</v>
      </c>
      <c r="CL3" s="10">
        <f>9485-CL5-(2000*0.125*0)</f>
        <v>8491</v>
      </c>
      <c r="CM3" s="10">
        <f>9758-CM5-(2000*0.125*0)</f>
        <v>8981</v>
      </c>
      <c r="CN3" s="10">
        <f>9854-CN5-(2000*0.125*0)</f>
        <v>8880</v>
      </c>
      <c r="CO3" s="10">
        <f>9815-CO5-(2000*0.125*0)</f>
        <v>8776</v>
      </c>
      <c r="CP3" s="10">
        <f>11486-CP5-(2000*0.125*0)</f>
        <v>10319</v>
      </c>
      <c r="CQ3" s="10">
        <f>11458-CQ5-(2000*0.125*0)</f>
        <v>10289</v>
      </c>
      <c r="CR3" s="10">
        <f>11606-CR5-(2000*0.125*0)</f>
        <v>10459</v>
      </c>
      <c r="CS3" s="10">
        <f>11338-CS5-(2000*0.125*0)</f>
        <v>10162</v>
      </c>
      <c r="CT3" s="10">
        <f>11468-CT5-(2000*0.125*0)</f>
        <v>10279</v>
      </c>
      <c r="CU3" s="10">
        <f>11559-CU5-(2000*0.125*0)</f>
        <v>10257</v>
      </c>
      <c r="CV3" s="10">
        <f>11488-CV5-(2000*0.125*0)</f>
        <v>10204</v>
      </c>
      <c r="CW3" s="10">
        <f>11722-CW5-(2000*0.125*0)</f>
        <v>10811</v>
      </c>
      <c r="CX3" s="10">
        <f>11654-CX5-(2000*0.125*0)</f>
        <v>11654</v>
      </c>
      <c r="CY3" s="10">
        <f>11650-CY5-(2000*0.125*0)</f>
        <v>10826</v>
      </c>
      <c r="CZ3" s="10">
        <f>11863-CZ5-(2000*0.125*0)</f>
        <v>11863</v>
      </c>
      <c r="DA3" s="10">
        <f>12360-DA5-(2000*0.125*0)</f>
        <v>11208</v>
      </c>
      <c r="DB3" s="10">
        <f>12255-DB5-(2000*0.125*0)</f>
        <v>11084</v>
      </c>
      <c r="DC3" s="10">
        <f>12272-DC5-(2000*0.125*0)</f>
        <v>11238</v>
      </c>
      <c r="DD3" s="10">
        <f>12260-DD5-(2000*0.125*0)</f>
        <v>11296</v>
      </c>
      <c r="DE3" s="10">
        <f>12310-DE5-(2000*0.125*0)</f>
        <v>11358</v>
      </c>
      <c r="DF3" s="10">
        <f>12253-DF5-(2000*0.125*0)</f>
        <v>12253</v>
      </c>
      <c r="DG3" s="10">
        <f>12235-DG5-(2000*0.125*0)</f>
        <v>12235</v>
      </c>
      <c r="DH3" s="10">
        <f>12286-DH5-(2000*0.125*0)</f>
        <v>12286</v>
      </c>
      <c r="DI3" s="10">
        <f>12218-DI5-(2000*0.125*0)</f>
        <v>12218</v>
      </c>
      <c r="DJ3" s="10">
        <f>11919-DJ5-(2000*0.125*0)</f>
        <v>10412</v>
      </c>
      <c r="DK3" s="10">
        <f>11840-DK5-(2000*0.125*0)</f>
        <v>11840</v>
      </c>
      <c r="DL3" s="10">
        <f>11945-DL5-(2000*0.125*0)</f>
        <v>10436</v>
      </c>
      <c r="DM3" s="10">
        <f>12103-DM5-(2000*0.125*0)</f>
        <v>10287</v>
      </c>
      <c r="DN3" s="10">
        <f>12399-DN5-(2000*0.125*0)</f>
        <v>10688</v>
      </c>
      <c r="DO3" s="10">
        <f>12399-DO5-(2000*0.125*0)</f>
        <v>12399</v>
      </c>
      <c r="DP3" s="10">
        <f>11918-DP5-(2000*0.125*0)</f>
        <v>10117</v>
      </c>
      <c r="DQ3" s="10">
        <f>11918-DQ5-(2000*0.125*0)</f>
        <v>11918</v>
      </c>
      <c r="DR3" s="10">
        <f>12106-DR5-(2000*0.125*0)</f>
        <v>10373</v>
      </c>
      <c r="DS3" s="10">
        <f>12054-DS5-(2000*0.125*0)</f>
        <v>12054</v>
      </c>
      <c r="DT3" s="10">
        <f>11889-DT5-(2000*0.125*0)</f>
        <v>10176</v>
      </c>
      <c r="DU3" s="10">
        <f>11883-DU5-(2000*0.125*0)</f>
        <v>10270</v>
      </c>
      <c r="DV3" s="10">
        <f>11900-DV5-(2000*0.125*0)</f>
        <v>10245</v>
      </c>
      <c r="DW3" s="10">
        <f>11895-DW5-(2000*0.125*0)</f>
        <v>10260</v>
      </c>
      <c r="DX3" s="10">
        <f>11589-DX5-(2000*0.125*0)</f>
        <v>9996</v>
      </c>
      <c r="DY3" s="10">
        <f>11489-DY5-(2000*0.125*0)</f>
        <v>9917</v>
      </c>
      <c r="DZ3" s="10">
        <f>11666-DZ5-(2000*0.125*0)</f>
        <v>10125</v>
      </c>
      <c r="EA3" s="10">
        <f>11727-EA5-(2000*0.125*0)</f>
        <v>10177.26</v>
      </c>
      <c r="EB3" s="10">
        <f>11707-EB5-(2000*0.125*0)</f>
        <v>11707</v>
      </c>
      <c r="EC3" s="10">
        <f>11595-EC5-(2000*0.125*0)</f>
        <v>11595</v>
      </c>
      <c r="ED3" s="10">
        <f>11630-ED5-(2000*0.125*0)</f>
        <v>10091</v>
      </c>
      <c r="EE3" s="10">
        <f>11794-EE5-(2000*0.125*0)</f>
        <v>10237</v>
      </c>
      <c r="EF3" s="10">
        <f>11881-EF5-(2000*0.125*0)</f>
        <v>10324</v>
      </c>
      <c r="EG3" s="10">
        <f>11867-EG5-(2000*0.125*0)</f>
        <v>10284</v>
      </c>
      <c r="EH3" s="10">
        <f>12018-EH5-(2000*0.125*0)</f>
        <v>10456</v>
      </c>
      <c r="EI3" s="10">
        <f>12021-EI5-(2000*0.125*0)</f>
        <v>10436</v>
      </c>
      <c r="EJ3" s="10">
        <f>11758-EJ5-(2000*0.125*0)</f>
        <v>10244</v>
      </c>
      <c r="EK3" s="10">
        <f>11565-EK5-(2000*0.125*0)</f>
        <v>10148</v>
      </c>
      <c r="EL3" s="10">
        <f>11565-EL5-(2000*0.125*0)</f>
        <v>11565</v>
      </c>
      <c r="EM3" s="10">
        <f>11565-EM5-(2000*0.125*0)</f>
        <v>11565</v>
      </c>
      <c r="EN3" s="10">
        <f>10874-EN5-(2000*0.125*0)</f>
        <v>9441</v>
      </c>
      <c r="EO3" s="10">
        <f>10885-EO5-(2000*0.125*0)</f>
        <v>9449</v>
      </c>
      <c r="EP3" s="10">
        <f>10958-EP5-(2000*0.125*0)</f>
        <v>9535</v>
      </c>
      <c r="EQ3" s="10">
        <f>10993-EQ5-(2000*0.125*0)</f>
        <v>10993</v>
      </c>
      <c r="ER3" s="10">
        <f>11216-ER5-(2000*0.125*0)</f>
        <v>9776</v>
      </c>
      <c r="ES3" s="10">
        <f>11414-ES5-(2000*0.125*0)</f>
        <v>10081</v>
      </c>
      <c r="ET3" s="10">
        <f>11387-ET5-(2000*0.125*0)</f>
        <v>11387</v>
      </c>
      <c r="EU3" s="10">
        <f>9519-EU5-(2000*0.125*0)</f>
        <v>8194</v>
      </c>
      <c r="EV3" s="10">
        <f>9516-EV5-(2000*0.125*0)</f>
        <v>8211</v>
      </c>
      <c r="EW3" s="10">
        <f>9684-EW5-(2000*0.125*0)</f>
        <v>8247</v>
      </c>
      <c r="EX3" s="10">
        <f>9684-EX5-(2000*0.125*0)</f>
        <v>8313</v>
      </c>
      <c r="EY3" s="10">
        <f>10039-EY5-(2000*0.125*0)</f>
        <v>8581</v>
      </c>
      <c r="EZ3" s="10">
        <f>10718-EZ5-(2000*0.125*0)</f>
        <v>9093</v>
      </c>
      <c r="FA3" s="10">
        <f>10832-FA5-(2000*0.125*0)</f>
        <v>9201</v>
      </c>
      <c r="FB3" s="10">
        <f>11093-FB5-(2000*0.125*0)</f>
        <v>9494</v>
      </c>
      <c r="FC3" s="10">
        <f>11093-FC5-(2000*0.125*0)</f>
        <v>11093</v>
      </c>
      <c r="FD3" s="10">
        <f>11183-FD5-(2000*0.125*0)</f>
        <v>9597</v>
      </c>
      <c r="FE3" s="10">
        <f>10626-FE5-(2000*0.125*0)</f>
        <v>9112</v>
      </c>
      <c r="FF3" s="10">
        <f>10517-FF5-(2000*0.125*0)</f>
        <v>9010</v>
      </c>
      <c r="FG3" s="10">
        <f>10503-FG5-(2000*0.125*0)</f>
        <v>9079</v>
      </c>
      <c r="FH3" s="10">
        <f>10503-FH5-(2000*0.125*0)</f>
        <v>10503</v>
      </c>
      <c r="FI3" s="10">
        <f>11037-FI5-(2000*0.125*0)</f>
        <v>9549</v>
      </c>
      <c r="FJ3" s="10">
        <f>10569-FJ5-(2000*0.125*0)</f>
        <v>9077</v>
      </c>
      <c r="FK3" s="10">
        <f>10287-FK5-(2000*0.125*0)</f>
        <v>8792</v>
      </c>
      <c r="FL3" s="10">
        <f>10419-FL5-(2000*0.125*0)</f>
        <v>8904</v>
      </c>
      <c r="FM3" s="10">
        <f>10440-FM5-(2000*0.125*0)</f>
        <v>8975</v>
      </c>
      <c r="FN3" s="10">
        <f>10380-FN5-(2000*0.125*0)</f>
        <v>8912</v>
      </c>
      <c r="FO3" s="10">
        <f>9920-FO5-(2000*0.125*0)</f>
        <v>8496</v>
      </c>
      <c r="FP3" s="10">
        <f>9969-FP5-(2000*0.125*0)</f>
        <v>8497</v>
      </c>
      <c r="FQ3" s="10">
        <f>10028-FQ5-(2000*0.125*0)</f>
        <v>8612</v>
      </c>
      <c r="FR3" s="10">
        <f>10252-FR5-(2000*0.125*0)</f>
        <v>8880</v>
      </c>
      <c r="FS3" s="10">
        <f>10286-FS5-(2000*0.125*0)</f>
        <v>8944</v>
      </c>
      <c r="FT3" s="10">
        <f>10286-FT5-(2000*0.125*0)</f>
        <v>10286</v>
      </c>
      <c r="FU3" s="10">
        <f>10036-FU5-(2000*0.125*0)</f>
        <v>8693</v>
      </c>
      <c r="FV3" s="10">
        <f>9968-FV5-(2000*0.125*0)</f>
        <v>8604</v>
      </c>
      <c r="FW3" s="10">
        <f>9299-FW5-(2000*0.125*0)</f>
        <v>7888</v>
      </c>
      <c r="FX3" s="10">
        <f>9496-FX5-(2000*0.125*0)</f>
        <v>8140</v>
      </c>
      <c r="FY3" s="10">
        <f>9496-FY5-(2000*0.125*0)</f>
        <v>9496</v>
      </c>
      <c r="FZ3" s="10">
        <f>9145-FZ5-(2000*0.125*0)</f>
        <v>9145</v>
      </c>
      <c r="GA3" s="10">
        <f>9099-GA5-(2000*0.125*0)</f>
        <v>7704</v>
      </c>
      <c r="GB3" s="10">
        <f>9334-GB5-(2000*0.125*0)</f>
        <v>7956</v>
      </c>
      <c r="GC3" s="10">
        <f>9133-GC5-(2000*0.125*0)</f>
        <v>7666</v>
      </c>
      <c r="GD3" s="10">
        <f>9022-GD5-(2000*0.125*0)</f>
        <v>7646</v>
      </c>
      <c r="GE3" s="10">
        <f>8977-GE5-(2000*0.125*0)</f>
        <v>7584</v>
      </c>
      <c r="GF3" s="10">
        <f>8984-GF5-(2000*0.125*0)</f>
        <v>7624</v>
      </c>
      <c r="GG3" s="10">
        <f>9052-GG5-(2000*0.125*0)</f>
        <v>7639</v>
      </c>
      <c r="GH3" s="10">
        <f>9210-GH5-(2000*0.125*0)</f>
        <v>7888</v>
      </c>
      <c r="GI3" s="10">
        <f>9315-GI5-(2000*0.125*0)</f>
        <v>7993</v>
      </c>
      <c r="GJ3" s="10">
        <f>9086-GJ5-(2000*0.125*0)</f>
        <v>7764</v>
      </c>
      <c r="GK3" s="10">
        <f>9075-GK5-(2000*0.125*0)</f>
        <v>7789</v>
      </c>
      <c r="GL3" s="10">
        <f>9497-GL5-(2000*0.125*0)</f>
        <v>7983</v>
      </c>
      <c r="GM3" s="10">
        <f>8848-GM5-(2000*0.125*0)</f>
        <v>7337</v>
      </c>
      <c r="GN3" s="10">
        <f>8775-GN5-(2000*0.125*0)</f>
        <v>7283</v>
      </c>
      <c r="GO3" s="10">
        <f>8671-GO5-(2000*0.125*0)</f>
        <v>7179</v>
      </c>
      <c r="GP3" s="10">
        <f>8944-GP5-(2000*0.125*0)</f>
        <v>7469</v>
      </c>
      <c r="GQ3" s="10">
        <f>9065-GQ5-(2000*0.125*0)</f>
        <v>7578</v>
      </c>
      <c r="GR3" s="10">
        <f>9277-GR5-(2000*0.125*0)</f>
        <v>7790</v>
      </c>
      <c r="GS3" s="10">
        <f>9345-GS5-(2000*0.125*0)</f>
        <v>7882</v>
      </c>
      <c r="GT3" s="10">
        <f>9633-GT5-(2000*0.125*0)</f>
        <v>8233</v>
      </c>
      <c r="GU3" s="10">
        <f>9394-GU5-(2000*0.125*0)</f>
        <v>8000</v>
      </c>
      <c r="GV3" s="10">
        <f>9696-GV5-(2000*0.125*0)</f>
        <v>8259</v>
      </c>
      <c r="GW3" s="10">
        <f>9552-GW5-(2000*0.125*0)</f>
        <v>8112</v>
      </c>
      <c r="GX3" s="10">
        <f>9684-GX5-(2000*0.125*0)</f>
        <v>8256</v>
      </c>
      <c r="GY3" s="10">
        <f>9421-GY5-(2000*0.125*0)</f>
        <v>8019</v>
      </c>
      <c r="GZ3" s="10">
        <f>9563-GZ5-(2000*0.125*0)</f>
        <v>8161</v>
      </c>
      <c r="HA3" s="10">
        <f>9800-HA5-(2000*0.125*0)</f>
        <v>8409</v>
      </c>
      <c r="HB3" s="10">
        <f>9800-HB5-(2000*0.125*0)</f>
        <v>8409</v>
      </c>
      <c r="HC3" s="10">
        <f>9924-HC5-(2000*0.125*0)</f>
        <v>8539</v>
      </c>
      <c r="HD3" s="10">
        <f>10307-HD5-(2000*0.125*0)</f>
        <v>8916</v>
      </c>
      <c r="HE3" s="10">
        <f>10438-HE5-(2000*0.125*0)</f>
        <v>9057</v>
      </c>
      <c r="HF3" s="10">
        <f>10221-HF5-(2000*0.125*0)</f>
        <v>8848</v>
      </c>
      <c r="HG3" s="10">
        <f>10358-HG5-(2000*0.125*0)</f>
        <v>8823</v>
      </c>
      <c r="HH3" s="10">
        <f>10715-HH5-(2000*0.125*0)</f>
        <v>9111</v>
      </c>
      <c r="HI3" s="10">
        <f>10740-HI5-(2000*0.125*0)</f>
        <v>9135</v>
      </c>
      <c r="HJ3" s="10">
        <f>10868-HJ5-(2000*0.125*0)</f>
        <v>9252</v>
      </c>
      <c r="HK3" s="10">
        <f>10815-HK5-(2000*0.125*0)</f>
        <v>9200</v>
      </c>
      <c r="HL3" s="10">
        <f>10285-HL5-(2000*0.125*0)</f>
        <v>8607</v>
      </c>
      <c r="HM3" s="10">
        <f>10655-HM5-(2000*0.125*0)</f>
        <v>8985</v>
      </c>
      <c r="HN3" s="10">
        <f>10684-HN5-(2000*0.125*0)</f>
        <v>9005</v>
      </c>
      <c r="HO3" s="10">
        <f>9925-HO5</f>
        <v>9182</v>
      </c>
      <c r="HP3" s="10">
        <f>9736-HP5</f>
        <v>8899</v>
      </c>
      <c r="HQ3" s="10">
        <f>9769-HQ5</f>
        <v>8811</v>
      </c>
      <c r="HR3" s="10">
        <f>9722-HR5</f>
        <v>8837</v>
      </c>
      <c r="HS3" s="10">
        <f>9669-HS5</f>
        <v>8611</v>
      </c>
      <c r="HT3" s="10">
        <f>10061-HT5</f>
        <v>8993</v>
      </c>
      <c r="HU3" s="10">
        <f>10429-HU5</f>
        <v>9420</v>
      </c>
      <c r="HV3" s="10">
        <f>10493-HV5</f>
        <v>9493.32</v>
      </c>
      <c r="HW3" s="10">
        <f>9640-HW5</f>
        <v>8796</v>
      </c>
      <c r="HX3" s="10">
        <f>9637-HX5</f>
        <v>8743</v>
      </c>
      <c r="HY3" s="10">
        <f>9745-HY5</f>
        <v>8884</v>
      </c>
      <c r="HZ3" s="10">
        <f>9968-HZ5</f>
        <v>9155</v>
      </c>
      <c r="IA3" s="10">
        <f>9103-IA5</f>
        <v>8340</v>
      </c>
      <c r="IB3" s="10">
        <f>9097-IB5</f>
        <v>8255</v>
      </c>
      <c r="IC3" s="10">
        <f>9253-IC5</f>
        <v>8554</v>
      </c>
      <c r="ID3" s="10">
        <f>9097-ID5</f>
        <v>8351</v>
      </c>
      <c r="IE3" s="10">
        <f>9190-IE5</f>
        <v>8477</v>
      </c>
      <c r="IF3" s="10">
        <f>8464-IF5</f>
        <v>7839</v>
      </c>
      <c r="IG3" s="10">
        <f>8414-IG5</f>
        <v>7739</v>
      </c>
      <c r="IH3" s="10">
        <f>9053-IH5</f>
        <v>8327</v>
      </c>
      <c r="II3" s="10">
        <f>9071-II5</f>
        <v>8263</v>
      </c>
      <c r="IJ3" s="10">
        <f>9142-IJ5</f>
        <v>8387</v>
      </c>
      <c r="IK3" s="10">
        <f>8883-IK5</f>
        <v>8191</v>
      </c>
      <c r="IL3" s="10">
        <f>8887-IL5</f>
        <v>8180</v>
      </c>
      <c r="IM3" s="10">
        <f>9179-IM5</f>
        <v>8472</v>
      </c>
      <c r="IN3" s="10">
        <f>8837-IN5</f>
        <v>8230</v>
      </c>
      <c r="IO3" s="10">
        <f>8721-IO5</f>
        <v>8125</v>
      </c>
      <c r="IP3" s="10">
        <f>8964-IP5</f>
        <v>8368</v>
      </c>
      <c r="IQ3" s="10">
        <f>8963-IQ5</f>
        <v>8391</v>
      </c>
      <c r="IR3" s="10">
        <f>8774-IR5</f>
        <v>8223</v>
      </c>
      <c r="IS3" s="10">
        <f>9360-IS5</f>
        <v>8809</v>
      </c>
      <c r="IT3" s="10">
        <f>9360-IT5</f>
        <v>8809</v>
      </c>
      <c r="IU3" s="10">
        <f>9360-IU5</f>
        <v>8809</v>
      </c>
      <c r="IV3" s="10">
        <f>9360-IV5</f>
        <v>8809</v>
      </c>
      <c r="IW3" s="10">
        <f>9360-IW5</f>
        <v>8809</v>
      </c>
      <c r="IX3" s="10">
        <f>9658-IX5</f>
        <v>9107</v>
      </c>
      <c r="IY3" s="10">
        <f>9708-IY5</f>
        <v>9157</v>
      </c>
      <c r="IZ3" s="10">
        <f>10033-IZ5</f>
        <v>9455</v>
      </c>
      <c r="JA3" s="10">
        <f>10750-JA5</f>
        <v>9984</v>
      </c>
      <c r="JB3" s="10">
        <f>10735-JB5</f>
        <v>9898</v>
      </c>
      <c r="JC3" s="10">
        <f>10925-JC5</f>
        <v>10067</v>
      </c>
      <c r="JD3" s="10">
        <f>11035-JD5</f>
        <v>10005</v>
      </c>
      <c r="JE3" s="10">
        <f>10952-JE5</f>
        <v>9835</v>
      </c>
      <c r="JF3" s="10">
        <f>11047-JF5</f>
        <v>9998</v>
      </c>
      <c r="JG3" s="10">
        <f>11133-JG5</f>
        <v>10082</v>
      </c>
      <c r="JH3" s="10">
        <f>11138-JH5</f>
        <v>10063</v>
      </c>
      <c r="JI3" s="10">
        <f>11089-JI5</f>
        <v>10018</v>
      </c>
      <c r="JJ3" s="10">
        <f>11226-JJ5</f>
        <v>10111</v>
      </c>
      <c r="JK3" s="10">
        <f>11072-JK5</f>
        <v>9968</v>
      </c>
      <c r="JL3" s="10">
        <f>11024-JL5</f>
        <v>9918</v>
      </c>
      <c r="JM3" s="10">
        <f>11170-JM5</f>
        <v>10069</v>
      </c>
      <c r="JN3" s="10">
        <f>11190-JN5</f>
        <v>10058</v>
      </c>
      <c r="JO3" s="10">
        <f>11289-JO5</f>
        <v>10082</v>
      </c>
      <c r="JP3" s="10">
        <f>11479-JP5</f>
        <v>10239</v>
      </c>
      <c r="JQ3" s="10">
        <f>11437-JQ5</f>
        <v>10197</v>
      </c>
      <c r="JR3" s="10">
        <f>11709-JR5</f>
        <v>10473</v>
      </c>
      <c r="JS3" s="10">
        <f>11653-JS5</f>
        <v>10412</v>
      </c>
      <c r="JT3" s="10">
        <f>11660-JT5</f>
        <v>10383</v>
      </c>
      <c r="JU3" s="10">
        <f>11560-JU5</f>
        <v>10228</v>
      </c>
      <c r="JV3" s="10">
        <f>11488-JV5</f>
        <v>10015</v>
      </c>
      <c r="JW3" s="102">
        <f>11691-JW5</f>
        <v>10213</v>
      </c>
      <c r="JX3" s="475"/>
      <c r="JY3" s="24" t="s">
        <v>48</v>
      </c>
      <c r="JZ3" s="6" t="s">
        <v>47</v>
      </c>
      <c r="KA3" s="15"/>
      <c r="KB3" s="6" t="s">
        <v>48</v>
      </c>
      <c r="KC3" s="10">
        <f>11541-KC5</f>
        <v>10057</v>
      </c>
      <c r="KD3" s="10">
        <f>11819-KD5</f>
        <v>10682</v>
      </c>
      <c r="KE3" s="10">
        <f>11102-KE5</f>
        <v>10388</v>
      </c>
      <c r="KF3" s="10">
        <f>10981-KF5</f>
        <v>10187</v>
      </c>
      <c r="KG3" s="10">
        <f>11241-KG5</f>
        <v>10508</v>
      </c>
      <c r="KH3" s="10">
        <f>11156-KH5</f>
        <v>10512</v>
      </c>
      <c r="KI3" s="10">
        <f>10811-KI5</f>
        <v>10194</v>
      </c>
      <c r="KJ3" s="10">
        <f>10636-KJ5</f>
        <v>10013</v>
      </c>
      <c r="KK3" s="122"/>
      <c r="KL3" s="6" t="s">
        <v>48</v>
      </c>
      <c r="KM3" s="10">
        <v>10883</v>
      </c>
      <c r="KN3" s="10">
        <v>10767</v>
      </c>
      <c r="KO3" s="10">
        <v>10614</v>
      </c>
      <c r="KP3" s="10">
        <v>10190</v>
      </c>
      <c r="KQ3" s="10">
        <v>10089</v>
      </c>
      <c r="KR3" s="10">
        <v>10290</v>
      </c>
      <c r="KS3" s="10">
        <v>10267</v>
      </c>
      <c r="KT3" s="10">
        <v>10178</v>
      </c>
      <c r="KU3" s="10">
        <v>9528</v>
      </c>
      <c r="KV3" s="10">
        <v>9364</v>
      </c>
      <c r="KW3" s="10">
        <v>9405</v>
      </c>
      <c r="KX3" s="10">
        <v>9420</v>
      </c>
      <c r="KY3" s="10">
        <v>8837</v>
      </c>
      <c r="KZ3" s="10">
        <v>8725</v>
      </c>
      <c r="LA3" s="10">
        <v>8725</v>
      </c>
      <c r="LB3" s="10">
        <v>8864</v>
      </c>
      <c r="LC3" s="10">
        <v>8735</v>
      </c>
      <c r="LD3" s="10">
        <f>8363-271.68-77</f>
        <v>8014.32</v>
      </c>
      <c r="LE3" s="10">
        <f>8363-271.68-77</f>
        <v>8014.32</v>
      </c>
      <c r="LF3" s="10">
        <f>8407-271.68-77</f>
        <v>8058.32</v>
      </c>
      <c r="LG3" s="10">
        <f>8322-77</f>
        <v>8245</v>
      </c>
      <c r="LH3" s="10">
        <f>8255-77</f>
        <v>8178</v>
      </c>
      <c r="LI3" s="10">
        <f>7991-77</f>
        <v>7914</v>
      </c>
      <c r="LJ3" s="10">
        <f>7991-77</f>
        <v>7914</v>
      </c>
      <c r="LK3" s="10">
        <f>8244-77</f>
        <v>8167</v>
      </c>
      <c r="LL3" s="10">
        <f>7804-77</f>
        <v>7727</v>
      </c>
      <c r="LM3" s="10">
        <f>7782-77</f>
        <v>7705</v>
      </c>
      <c r="LN3" s="10">
        <f>7593-77</f>
        <v>7516</v>
      </c>
      <c r="LO3" s="10">
        <f>7592-77</f>
        <v>7515</v>
      </c>
      <c r="LP3" s="10">
        <f>7718-77</f>
        <v>7641</v>
      </c>
      <c r="LQ3" s="10">
        <f>7708-77</f>
        <v>7631</v>
      </c>
      <c r="LR3" s="10">
        <f>7681-77</f>
        <v>7604</v>
      </c>
      <c r="LS3" s="10">
        <f>7319-77</f>
        <v>7242</v>
      </c>
      <c r="LT3" s="10">
        <f>7319-77</f>
        <v>7242</v>
      </c>
      <c r="LU3" s="10">
        <f>7318-77</f>
        <v>7241</v>
      </c>
      <c r="LV3" s="10">
        <f>7139-77</f>
        <v>7062</v>
      </c>
      <c r="LW3" s="10">
        <f>7139-77</f>
        <v>7062</v>
      </c>
      <c r="LX3" s="10">
        <f>7048-77</f>
        <v>6971</v>
      </c>
      <c r="LY3" s="10">
        <f>7231-77</f>
        <v>7154</v>
      </c>
      <c r="LZ3" s="10">
        <f>7141-77</f>
        <v>7064</v>
      </c>
      <c r="MA3" s="10">
        <f>7137-77</f>
        <v>7060</v>
      </c>
      <c r="MB3" s="10">
        <f>7229-77</f>
        <v>7152</v>
      </c>
      <c r="MC3" s="10">
        <f>7257</f>
        <v>7257</v>
      </c>
      <c r="MD3" s="10">
        <v>6792</v>
      </c>
      <c r="ME3" s="10">
        <v>6792</v>
      </c>
      <c r="MF3" s="10">
        <v>6936</v>
      </c>
      <c r="MG3" s="10">
        <v>6924</v>
      </c>
      <c r="MH3" s="10">
        <v>6858</v>
      </c>
      <c r="MI3" s="10">
        <v>6601</v>
      </c>
      <c r="MJ3" s="10">
        <v>6573</v>
      </c>
      <c r="MK3" s="10">
        <v>6584</v>
      </c>
      <c r="ML3" s="10">
        <f>6542+286</f>
        <v>6828</v>
      </c>
      <c r="MM3" s="10">
        <f>6432+281</f>
        <v>6713</v>
      </c>
      <c r="MN3" s="10">
        <f>6466+281.4</f>
        <v>6747.4</v>
      </c>
      <c r="MO3" s="10">
        <f>6244+281.4</f>
        <v>6525.4</v>
      </c>
      <c r="MP3" s="10">
        <f>6339+281.4</f>
        <v>6620.4</v>
      </c>
      <c r="MQ3" s="10">
        <f>6139+256</f>
        <v>6395</v>
      </c>
      <c r="MR3" s="10">
        <f>6039+256</f>
        <v>6295</v>
      </c>
      <c r="MS3" s="10">
        <f>6124+256</f>
        <v>6380</v>
      </c>
      <c r="MT3" s="10">
        <f>6009+256</f>
        <v>6265</v>
      </c>
      <c r="MU3" s="10">
        <f>5675+242</f>
        <v>5917</v>
      </c>
      <c r="MV3" s="10">
        <f>5587+242</f>
        <v>5829</v>
      </c>
      <c r="MW3" s="10">
        <f>5633+242</f>
        <v>5875</v>
      </c>
      <c r="MX3" s="10">
        <f>5512+242</f>
        <v>5754</v>
      </c>
      <c r="MY3" s="10">
        <f>5438+242</f>
        <v>5680</v>
      </c>
      <c r="MZ3" s="10">
        <f>5419+234</f>
        <v>5653</v>
      </c>
      <c r="NA3" s="10">
        <f>5419+234</f>
        <v>5653</v>
      </c>
      <c r="NB3" s="10">
        <f>5573+234</f>
        <v>5807</v>
      </c>
      <c r="NC3" s="10">
        <f>5672+234</f>
        <v>5906</v>
      </c>
      <c r="ND3" s="10">
        <f>5588+234</f>
        <v>5822</v>
      </c>
      <c r="NE3" s="10">
        <f>5294+226</f>
        <v>5520</v>
      </c>
      <c r="NF3" s="10">
        <f>5273+226</f>
        <v>5499</v>
      </c>
      <c r="NG3" s="10">
        <f>5311+226</f>
        <v>5537</v>
      </c>
      <c r="NH3" s="10">
        <f>5324+219.45</f>
        <v>5543.45</v>
      </c>
      <c r="NI3" s="10">
        <f>5242+217</f>
        <v>5459</v>
      </c>
      <c r="NJ3" s="10">
        <f>5239+217</f>
        <v>5456</v>
      </c>
      <c r="NK3" s="10">
        <f>5408+217</f>
        <v>5625</v>
      </c>
      <c r="NL3" s="10">
        <f>5433+217</f>
        <v>5650</v>
      </c>
      <c r="NM3" s="10">
        <f>5664+217</f>
        <v>5881</v>
      </c>
      <c r="NN3" s="10">
        <f>5559+204.985</f>
        <v>5763.9849999999997</v>
      </c>
      <c r="NO3" s="10">
        <f>5559+204.985</f>
        <v>5763.9849999999997</v>
      </c>
      <c r="NP3" s="10">
        <f>5802+204.985</f>
        <v>6006.9849999999997</v>
      </c>
      <c r="NQ3" s="10">
        <f>5917+204.985</f>
        <v>6121.9849999999997</v>
      </c>
      <c r="NR3" s="10">
        <f>5996+204.985</f>
        <v>6200.9849999999997</v>
      </c>
      <c r="NS3" s="10">
        <f>5878+192.225</f>
        <v>6070.2250000000004</v>
      </c>
      <c r="NT3" s="10">
        <f>5879+192.225</f>
        <v>6071.2250000000004</v>
      </c>
      <c r="NU3" s="10">
        <f>6066+192.225</f>
        <v>6258.2250000000004</v>
      </c>
      <c r="NV3" s="10">
        <f>6037+192.225</f>
        <v>6229.2250000000004</v>
      </c>
      <c r="NW3" s="10">
        <f>6104+192.225</f>
        <v>6296.2250000000004</v>
      </c>
      <c r="NX3" s="10">
        <f>5904+188.1</f>
        <v>6092.1</v>
      </c>
      <c r="NY3" s="10">
        <f>5904+188.1</f>
        <v>6092.1</v>
      </c>
      <c r="NZ3" s="10">
        <f>5933+188.1</f>
        <v>6121.1</v>
      </c>
      <c r="OA3" s="10">
        <f>6008+188.1</f>
        <v>6196.1</v>
      </c>
      <c r="OB3" s="10">
        <f>5911+164.975</f>
        <v>6075.9750000000004</v>
      </c>
      <c r="OC3" s="10">
        <f>5911+164.975</f>
        <v>6075.9750000000004</v>
      </c>
      <c r="OD3" s="10">
        <f>6125+164.975</f>
        <v>6289.9750000000004</v>
      </c>
      <c r="OE3" s="10">
        <f>6202+164.975</f>
        <v>6366.9750000000004</v>
      </c>
      <c r="OF3" s="10">
        <f>6277+164.975</f>
        <v>6441.9750000000004</v>
      </c>
      <c r="OG3" s="10">
        <f>5962+146.275</f>
        <v>6108.2749999999996</v>
      </c>
      <c r="OH3" s="10">
        <f>5972+146.275</f>
        <v>6118.2749999999996</v>
      </c>
      <c r="OI3" s="10">
        <f>6077+146.275</f>
        <v>6223.2749999999996</v>
      </c>
      <c r="OJ3" s="10">
        <f>6280+146.275</f>
        <v>6426.2749999999996</v>
      </c>
      <c r="OK3" s="10">
        <f>6766+114.4</f>
        <v>6880.4</v>
      </c>
      <c r="OL3" s="10">
        <f>6788+114.4</f>
        <v>6902.4</v>
      </c>
      <c r="OM3" s="10">
        <f>6896+114.4</f>
        <v>7010.4</v>
      </c>
      <c r="ON3" s="10">
        <f>6943+114.025</f>
        <v>7057.0249999999996</v>
      </c>
      <c r="OO3" s="10">
        <f>6907+114.025</f>
        <v>7021.0249999999996</v>
      </c>
      <c r="OP3" s="10">
        <f>7005.08+114.025</f>
        <v>7119.1049999999996</v>
      </c>
      <c r="OQ3" s="10">
        <f>6888.75+114.025</f>
        <v>7002.7749999999996</v>
      </c>
      <c r="OR3" s="10">
        <f>6709.91+114.025</f>
        <v>6823.9349999999995</v>
      </c>
      <c r="OS3" s="10">
        <f>6333.34+104.05</f>
        <v>6437.39</v>
      </c>
      <c r="OT3" s="10">
        <f>6305.81+104.05</f>
        <v>6409.8600000000006</v>
      </c>
      <c r="OU3" s="10">
        <f>6359.22+104.05</f>
        <v>6463.27</v>
      </c>
      <c r="OV3" s="10">
        <f>6328.92+104.05</f>
        <v>6432.97</v>
      </c>
      <c r="OW3" s="10">
        <f>66474.45</f>
        <v>66474.45</v>
      </c>
      <c r="OX3" s="10">
        <f>6702.73</f>
        <v>6702.73</v>
      </c>
      <c r="OY3" s="10">
        <f>6687.6</f>
        <v>6687.6</v>
      </c>
      <c r="OZ3" s="10">
        <f>6819.93</f>
        <v>6819.93</v>
      </c>
      <c r="PA3" s="10">
        <f>6854.31</f>
        <v>6854.31</v>
      </c>
      <c r="PB3" s="10">
        <f>6875.02</f>
        <v>6875.02</v>
      </c>
      <c r="PC3" s="10">
        <f>6500.095</f>
        <v>6500.0950000000003</v>
      </c>
      <c r="PD3" s="10">
        <f>6500.095</f>
        <v>6500.0950000000003</v>
      </c>
      <c r="PE3" s="10">
        <f>6586.575</f>
        <v>6586.5749999999998</v>
      </c>
      <c r="PF3" s="10">
        <f>6579.535</f>
        <v>6579.5349999999999</v>
      </c>
      <c r="PG3" s="10">
        <f>6701.565</f>
        <v>6701.5649999999996</v>
      </c>
      <c r="PH3" s="10">
        <f>6732.43</f>
        <v>6732.43</v>
      </c>
      <c r="PI3" s="10">
        <f>6721.15</f>
        <v>6721.15</v>
      </c>
      <c r="PJ3" s="10">
        <f>6770.52</f>
        <v>6770.52</v>
      </c>
      <c r="PK3" s="10">
        <f>6776.3</f>
        <v>6776.3</v>
      </c>
      <c r="PL3" s="10">
        <f>7181.475</f>
        <v>7181.4750000000004</v>
      </c>
      <c r="PM3" s="10">
        <f>6997.715</f>
        <v>6997.7150000000001</v>
      </c>
      <c r="PN3" s="10">
        <f>7210.465</f>
        <v>7210.4650000000001</v>
      </c>
      <c r="PO3" s="10">
        <f>7192.365</f>
        <v>7192.3649999999998</v>
      </c>
      <c r="PP3" s="10">
        <f>7512.115</f>
        <v>7512.1149999999998</v>
      </c>
      <c r="PQ3" s="10">
        <f>7678.065</f>
        <v>7678.0649999999996</v>
      </c>
      <c r="PR3" s="10">
        <f>7800.425</f>
        <v>7800.4250000000002</v>
      </c>
      <c r="PS3" s="10">
        <f>8050.425</f>
        <v>8050.4250000000002</v>
      </c>
      <c r="PT3" s="10">
        <f>7536.305</f>
        <v>7536.3050000000003</v>
      </c>
      <c r="PU3" s="10">
        <f>7781.785</f>
        <v>7781.7849999999999</v>
      </c>
      <c r="PV3" s="10">
        <f>7894.635</f>
        <v>7894.6350000000002</v>
      </c>
      <c r="PW3" s="10">
        <f>7662.915</f>
        <v>7662.915</v>
      </c>
      <c r="PX3" s="10">
        <f>7468.88</f>
        <v>7468.88</v>
      </c>
      <c r="PY3" s="10">
        <f>7468.88</f>
        <v>7468.88</v>
      </c>
      <c r="PZ3" s="10">
        <f>7640.9</f>
        <v>7640.9</v>
      </c>
      <c r="QA3" s="10">
        <f>7713.16</f>
        <v>7713.16</v>
      </c>
      <c r="QB3" s="10">
        <f>7803.61</f>
        <v>7803.61</v>
      </c>
      <c r="QC3" s="10">
        <f>7351.795</f>
        <v>7351.7950000000001</v>
      </c>
      <c r="QD3" s="10">
        <f>7337.285</f>
        <v>7337.2849999999999</v>
      </c>
      <c r="QE3" s="10">
        <f>7502.385</f>
        <v>7502.3850000000002</v>
      </c>
      <c r="QF3" s="10">
        <f>7320.515</f>
        <v>7320.5150000000003</v>
      </c>
      <c r="QG3" s="10">
        <f>7153.475</f>
        <v>7153.4750000000004</v>
      </c>
      <c r="QH3" s="10">
        <f>7153.475</f>
        <v>7153.4750000000004</v>
      </c>
      <c r="QI3" s="10">
        <f>7435.305</f>
        <v>7435.3050000000003</v>
      </c>
      <c r="QJ3" s="10">
        <f>7323.035</f>
        <v>7323.0349999999999</v>
      </c>
      <c r="QK3" s="10">
        <f>7298.185</f>
        <v>7298.1850000000004</v>
      </c>
      <c r="QL3" s="10">
        <f>7295.405</f>
        <v>7295.4049999999997</v>
      </c>
      <c r="QM3" s="10">
        <f>7485.905</f>
        <v>7485.9049999999997</v>
      </c>
      <c r="QN3" s="10">
        <f>7424.885</f>
        <v>7424.8850000000002</v>
      </c>
      <c r="QO3" s="10">
        <f>7520.545</f>
        <v>7520.5450000000001</v>
      </c>
      <c r="QP3" s="10">
        <f>7768.58</f>
        <v>7768.58</v>
      </c>
      <c r="QQ3" s="10">
        <f>7768.58</f>
        <v>7768.58</v>
      </c>
      <c r="QR3" s="10">
        <f>8009.14</f>
        <v>8009.14</v>
      </c>
      <c r="QS3" s="10">
        <f>7952.5</f>
        <v>7952.5</v>
      </c>
      <c r="QT3" s="10">
        <f>7955.91</f>
        <v>7955.91</v>
      </c>
      <c r="QU3" s="10">
        <f>7894.285</f>
        <v>7894.2849999999999</v>
      </c>
      <c r="QV3" s="10">
        <f>7894.285</f>
        <v>7894.2849999999999</v>
      </c>
      <c r="QW3" s="10">
        <f>8023.865</f>
        <v>8023.8649999999998</v>
      </c>
      <c r="QX3" s="10">
        <f>7932.135</f>
        <v>7932.1350000000002</v>
      </c>
      <c r="QY3" s="10">
        <f>7808.995</f>
        <v>7808.9949999999999</v>
      </c>
      <c r="QZ3" s="10">
        <f>7808.995</f>
        <v>7808.9949999999999</v>
      </c>
      <c r="RA3" s="10">
        <f>7995.165</f>
        <v>7995.165</v>
      </c>
      <c r="RB3" s="10">
        <f>8172.165</f>
        <v>8172.165</v>
      </c>
      <c r="RC3" s="10">
        <f>8444.295</f>
        <v>8444.2950000000001</v>
      </c>
      <c r="RD3" s="10">
        <f>8797.07</f>
        <v>8797.07</v>
      </c>
      <c r="RE3" s="10">
        <f>8797.07</f>
        <v>8797.07</v>
      </c>
      <c r="RF3" s="10">
        <f>9197.24</f>
        <v>9197.24</v>
      </c>
      <c r="RG3" s="10">
        <f>9299.67</f>
        <v>9299.67</v>
      </c>
      <c r="RH3" s="10">
        <f>9376.01</f>
        <v>9376.01</v>
      </c>
      <c r="RI3" s="10">
        <f>9197.58</f>
        <v>9197.58</v>
      </c>
      <c r="RJ3" s="10">
        <f>9197.58</f>
        <v>9197.58</v>
      </c>
      <c r="RK3" s="10">
        <f>9501.11</f>
        <v>9501.11</v>
      </c>
      <c r="RL3" s="10">
        <f>9685.23</f>
        <v>9685.23</v>
      </c>
      <c r="RM3" s="10">
        <f>9710.32</f>
        <v>9710.32</v>
      </c>
      <c r="RN3" s="10">
        <f>9778.63</f>
        <v>9778.6299999999992</v>
      </c>
      <c r="RO3" s="10">
        <f>9512.63</f>
        <v>9512.6299999999992</v>
      </c>
      <c r="RP3" s="10">
        <f>9692.55</f>
        <v>9692.5499999999993</v>
      </c>
      <c r="RQ3" s="10">
        <f>9733.68</f>
        <v>9733.68</v>
      </c>
      <c r="RR3" s="10">
        <f>9739.18</f>
        <v>9739.18</v>
      </c>
      <c r="RS3" s="10">
        <f>9876.78</f>
        <v>9876.7800000000007</v>
      </c>
      <c r="RT3" s="10">
        <f>9876.78</f>
        <v>9876.7800000000007</v>
      </c>
      <c r="RU3" s="10">
        <f>10038.72</f>
        <v>10038.719999999999</v>
      </c>
      <c r="RV3" s="10">
        <f>10010.54</f>
        <v>10010.540000000001</v>
      </c>
      <c r="RW3" s="10">
        <f>9851.2</f>
        <v>9851.2000000000007</v>
      </c>
      <c r="RX3" s="10">
        <f>10102.105</f>
        <v>10102.105</v>
      </c>
      <c r="RY3" s="10">
        <f>10097.985</f>
        <v>10097.985000000001</v>
      </c>
      <c r="RZ3" s="10">
        <f>10195.845</f>
        <v>10195.844999999999</v>
      </c>
      <c r="SA3" s="10">
        <f>10133.405</f>
        <v>10133.405000000001</v>
      </c>
      <c r="SB3" s="10">
        <f>10156.455</f>
        <v>10156.455</v>
      </c>
      <c r="SC3" s="10">
        <f>10013.29</f>
        <v>10013.290000000001</v>
      </c>
      <c r="SD3" s="10">
        <f>10013.29</f>
        <v>10013.290000000001</v>
      </c>
      <c r="SE3" s="10">
        <f>10290</f>
        <v>10290</v>
      </c>
      <c r="SF3" s="10">
        <f>10290</f>
        <v>10290</v>
      </c>
      <c r="SG3" s="10">
        <f>10385.93</f>
        <v>10385.93</v>
      </c>
      <c r="SH3" s="10">
        <v>10491.98</v>
      </c>
      <c r="SI3" s="10">
        <v>10484.009999999998</v>
      </c>
      <c r="SJ3" s="10">
        <v>9935.8049999999985</v>
      </c>
      <c r="SK3" s="10">
        <v>9935.8049999999985</v>
      </c>
      <c r="SL3" s="10">
        <v>10084.484999999999</v>
      </c>
      <c r="SM3" s="10">
        <v>9966.3049999999985</v>
      </c>
      <c r="SN3" s="10">
        <v>9705.244999999999</v>
      </c>
      <c r="SO3" s="10">
        <v>9705.244999999999</v>
      </c>
      <c r="SP3" s="10">
        <v>9764.0549999999985</v>
      </c>
      <c r="SQ3" s="10">
        <v>9790.8249999999989</v>
      </c>
      <c r="SR3" s="10">
        <v>9652.5549999999985</v>
      </c>
      <c r="SS3" s="10">
        <v>8962.125</v>
      </c>
      <c r="ST3" s="10">
        <v>8952.2749999999996</v>
      </c>
      <c r="SU3" s="10">
        <v>9138.0349999999999</v>
      </c>
      <c r="SV3" s="10">
        <v>9146.3049999999985</v>
      </c>
      <c r="SW3" s="10">
        <v>9237.5149999999994</v>
      </c>
      <c r="SX3" s="10">
        <v>9288.0199999999986</v>
      </c>
      <c r="SY3" s="10">
        <v>9288.0199999999986</v>
      </c>
      <c r="SZ3" s="10">
        <v>9383.3499999999985</v>
      </c>
      <c r="TA3" s="10">
        <v>9371.59</v>
      </c>
      <c r="TB3" s="10">
        <v>9354.92</v>
      </c>
      <c r="TC3" s="10">
        <v>9203.9049999999988</v>
      </c>
      <c r="TD3" s="10">
        <v>9279.1593999999968</v>
      </c>
      <c r="TE3" s="10">
        <v>8939.8293999999969</v>
      </c>
      <c r="TF3" s="10">
        <v>8978.8536000000022</v>
      </c>
      <c r="TG3" s="10">
        <v>9309.6106999999993</v>
      </c>
      <c r="TH3" s="10">
        <v>9463.6947999999993</v>
      </c>
      <c r="TI3" s="10">
        <v>9552.9889000000021</v>
      </c>
      <c r="TJ3" s="10">
        <v>9855.6967999999997</v>
      </c>
      <c r="TK3" s="10">
        <v>9834.6804000000011</v>
      </c>
      <c r="TL3" s="10">
        <v>9662.5083999999988</v>
      </c>
      <c r="TM3" s="10">
        <v>9744.0672999999988</v>
      </c>
      <c r="TN3" s="10">
        <v>9811.7062999999998</v>
      </c>
      <c r="TO3" s="198">
        <v>9733.2892999999967</v>
      </c>
      <c r="TP3" s="198">
        <v>9664.8064000000013</v>
      </c>
      <c r="TQ3" s="198">
        <v>9500</v>
      </c>
      <c r="TR3" s="198">
        <v>9557.3628999999983</v>
      </c>
      <c r="TS3" s="198">
        <v>9527.4107999999997</v>
      </c>
      <c r="TT3" s="198">
        <v>9643.9287999999979</v>
      </c>
      <c r="TU3" s="198">
        <v>9829.4649000000009</v>
      </c>
      <c r="TV3" s="198">
        <v>9535.6278999999995</v>
      </c>
      <c r="TW3" s="10">
        <v>9699.8848999999973</v>
      </c>
      <c r="TX3" s="10">
        <v>9661.4498000000003</v>
      </c>
      <c r="TY3" s="10">
        <v>9500</v>
      </c>
      <c r="TZ3" s="10">
        <v>9500</v>
      </c>
      <c r="UA3" s="10">
        <v>9500</v>
      </c>
      <c r="UB3" s="10">
        <v>9500</v>
      </c>
      <c r="UC3" s="10"/>
      <c r="UD3" s="10"/>
      <c r="UE3" s="10"/>
      <c r="UF3" s="10">
        <v>9878.6969000000008</v>
      </c>
      <c r="UG3" s="10">
        <v>9920.4578000000001</v>
      </c>
      <c r="UH3" s="10">
        <v>9925.8359999999993</v>
      </c>
      <c r="UI3" s="10">
        <v>9996.0820000000003</v>
      </c>
      <c r="UJ3" s="10">
        <v>9888.2546999999977</v>
      </c>
      <c r="UK3" s="10">
        <v>10038.370799999999</v>
      </c>
      <c r="UL3" s="10">
        <v>10072.143099999999</v>
      </c>
      <c r="UM3" s="10">
        <v>9854.4521000000022</v>
      </c>
      <c r="UN3" s="10">
        <v>9995.7470999999987</v>
      </c>
      <c r="UO3" s="10">
        <v>9882.4145999999982</v>
      </c>
      <c r="UP3" s="10">
        <v>10250</v>
      </c>
      <c r="UQ3" s="10">
        <v>10250</v>
      </c>
      <c r="UR3" s="10">
        <v>10250</v>
      </c>
      <c r="US3" s="10">
        <v>10250</v>
      </c>
      <c r="UU3" s="113" t="s">
        <v>64</v>
      </c>
      <c r="UV3" s="10">
        <f>UX61</f>
        <v>6463.1408999999994</v>
      </c>
      <c r="UW3" s="125">
        <f t="shared" si="0"/>
        <v>0.630550331707317</v>
      </c>
      <c r="UX3" s="126">
        <v>0</v>
      </c>
      <c r="UY3" s="48"/>
      <c r="UZ3" s="10">
        <v>0</v>
      </c>
      <c r="VA3" s="113" t="s">
        <v>64</v>
      </c>
      <c r="VB3" s="8" t="s">
        <v>47</v>
      </c>
      <c r="VC3" s="78">
        <f>'All WH'!AIR4</f>
        <v>10250</v>
      </c>
      <c r="VD3" s="7">
        <f>'All WH'!AIS4</f>
        <v>100000</v>
      </c>
      <c r="VE3">
        <v>8500</v>
      </c>
      <c r="VF3" t="s">
        <v>49</v>
      </c>
      <c r="VG3" t="s">
        <v>112</v>
      </c>
      <c r="VI3" t="s">
        <v>117</v>
      </c>
      <c r="VP3" s="85" t="s">
        <v>52</v>
      </c>
      <c r="VQ3" s="10">
        <v>623</v>
      </c>
      <c r="VR3" s="9">
        <f>IF((VQ3/VX3)&gt;1,1,(VQ3/VX3))</f>
        <v>0.34611111111111109</v>
      </c>
      <c r="VS3" s="45">
        <f>IF((VX3*0.9)-VQ3&lt;0,0,(VX3*0.9)-VQ3)</f>
        <v>997</v>
      </c>
      <c r="VT3" s="48"/>
      <c r="VU3" s="10">
        <f>IF((VX3*0.9-VQ3)&lt;0,0,(VX3*0.9-VQ3))-VT3</f>
        <v>997</v>
      </c>
      <c r="VV3" s="6" t="s">
        <v>52</v>
      </c>
      <c r="VW3" s="8" t="s">
        <v>47</v>
      </c>
      <c r="VX3" s="78">
        <v>1800</v>
      </c>
      <c r="VY3" s="7">
        <v>27000</v>
      </c>
      <c r="VZ3">
        <v>1800</v>
      </c>
      <c r="WA3" t="s">
        <v>53</v>
      </c>
      <c r="WB3" t="s">
        <v>114</v>
      </c>
      <c r="WC3" t="s">
        <v>115</v>
      </c>
      <c r="WD3" s="50"/>
      <c r="WE3" s="50"/>
    </row>
    <row r="4" spans="1:603" ht="30" x14ac:dyDescent="0.25">
      <c r="A4" s="6" t="s">
        <v>50</v>
      </c>
      <c r="B4" s="8" t="s">
        <v>47</v>
      </c>
      <c r="C4" s="7">
        <v>12300</v>
      </c>
      <c r="D4" s="7">
        <f>8546+(-893+1000)+(-7+500)</f>
        <v>9146</v>
      </c>
      <c r="E4" s="7">
        <f>8623+(-921+1000)+(-32+500)</f>
        <v>9170</v>
      </c>
      <c r="F4" s="7">
        <f>8517+(-847+1000)+(-32+500)</f>
        <v>9138</v>
      </c>
      <c r="G4" s="7">
        <f>8454+(-873+1000)+(-32+500)</f>
        <v>9049</v>
      </c>
      <c r="H4" s="7">
        <f>8454+(-873+1000)+(-32+500)</f>
        <v>9049</v>
      </c>
      <c r="I4" s="7">
        <f>8488+(-923+1000)+(-39+500)</f>
        <v>9026</v>
      </c>
      <c r="J4" s="7">
        <f>8569+(-954+1000)+(-39+500)</f>
        <v>9076</v>
      </c>
      <c r="K4" s="7">
        <f>8569+(-964+1000)+(-39+500)</f>
        <v>9066</v>
      </c>
      <c r="L4" s="7">
        <f>8202+(-754+1000)+(-39+500)</f>
        <v>8909</v>
      </c>
      <c r="M4" s="7">
        <f>8202+(-689+1000)+(-39+500)</f>
        <v>8974</v>
      </c>
      <c r="N4" s="7">
        <f>8127+(-469+1000)+(-39+500)</f>
        <v>9119</v>
      </c>
      <c r="O4" s="7">
        <f>8165+(-335+1000)+(-39+500)</f>
        <v>9291</v>
      </c>
      <c r="P4" s="7">
        <f>8158+(-391+1000)+(-39+500)</f>
        <v>9228</v>
      </c>
      <c r="Q4" s="7">
        <f>8027+(-457+1000)+(-39+500)</f>
        <v>9031</v>
      </c>
      <c r="R4" s="7">
        <f>8337+(-457+1000)+(-39+500)</f>
        <v>9341</v>
      </c>
      <c r="S4" s="7">
        <f>8414+(-634+1000)+(-39+500)</f>
        <v>9241</v>
      </c>
      <c r="T4" s="7">
        <f>8920+(-659+1000)+(-39+500)</f>
        <v>9722</v>
      </c>
      <c r="U4" s="7">
        <f>8920+(-637+1000)+(-39+500)</f>
        <v>9744</v>
      </c>
      <c r="V4" s="7">
        <f>9076+(-706+1000)+(-39+500)</f>
        <v>9831</v>
      </c>
      <c r="W4" s="7"/>
      <c r="X4" s="7"/>
      <c r="Y4" s="7">
        <f>9076+(-563+1000)+(-39+500)</f>
        <v>9974</v>
      </c>
      <c r="Z4" s="7">
        <f>9046+(-589+1000)+(-39+500)</f>
        <v>9918</v>
      </c>
      <c r="AA4" s="7">
        <f>8981+(-638+1000)+(-39+500)</f>
        <v>9804</v>
      </c>
      <c r="AB4" s="7">
        <f>9298+(-662+1000)+(-39+500)</f>
        <v>10097</v>
      </c>
      <c r="AC4" s="7">
        <f>9020+(-535+1000)+(-39+500)</f>
        <v>9946</v>
      </c>
      <c r="AD4" s="7"/>
      <c r="AE4" s="7">
        <f>8738+(-664+1000)+(-39+500)</f>
        <v>9535</v>
      </c>
      <c r="AF4" s="7">
        <f>9384+(-715+1000)+(-39+500)</f>
        <v>10130</v>
      </c>
      <c r="AG4" s="7">
        <f>9676+(-560+1000)+(-39+500)</f>
        <v>10577</v>
      </c>
      <c r="AH4" s="7">
        <f>9812+(-646+1000)+(-39+500)</f>
        <v>10627</v>
      </c>
      <c r="AI4" s="7">
        <f>9922+(-667+1000)+(-39+500)</f>
        <v>10716</v>
      </c>
      <c r="AJ4" s="7">
        <f>10521+(-682+1000)+(-39+500)</f>
        <v>11300</v>
      </c>
      <c r="AK4" s="7">
        <f>10484+(-764+1000)+(-39+500)</f>
        <v>11181</v>
      </c>
      <c r="AL4" s="7">
        <f>10431+(-203+1000)+(-39+500)</f>
        <v>11689</v>
      </c>
      <c r="AM4" s="7">
        <f>10358+(-252+1000)+(-39-97+500)</f>
        <v>11470</v>
      </c>
      <c r="AN4" s="7">
        <f>10411+(-326+1000)+(-39-102+500)</f>
        <v>11444</v>
      </c>
      <c r="AO4" s="7">
        <f>10411+(-379+1000)+(-39-102+500)</f>
        <v>11391</v>
      </c>
      <c r="AP4" s="7">
        <f>10190+(-406+1000)+(-39-102+500)</f>
        <v>11143</v>
      </c>
      <c r="AQ4" s="7">
        <f>10352+(-457+1000)+(-39-102+500)</f>
        <v>11254</v>
      </c>
      <c r="AR4" s="7">
        <f>10413+(-605+1000)+(-39-102+500)</f>
        <v>11167</v>
      </c>
      <c r="AS4" s="7">
        <f>10789+(-670+1000)+(-39-102+500)</f>
        <v>11478</v>
      </c>
      <c r="AT4" s="7">
        <f>10993+(-670+1000)+(-39-102+500)</f>
        <v>11682</v>
      </c>
      <c r="AU4" s="7">
        <f>11051+(-523+1000)+(-39-114+500)</f>
        <v>11875</v>
      </c>
      <c r="AV4" s="7">
        <f>10701+(-445+1000)+(-39-114+500)</f>
        <v>11603</v>
      </c>
      <c r="AW4" s="7">
        <f>10700+(-472+1000)+(-39-117+500)</f>
        <v>11572</v>
      </c>
      <c r="AX4" s="7">
        <f>10351+(-631+1000)+(-39-125+500)</f>
        <v>11056</v>
      </c>
      <c r="AY4" s="7">
        <f>10371+(-631+1000)+(-7-126+500)</f>
        <v>11107</v>
      </c>
      <c r="AZ4" s="7">
        <f>10368+(-465+1000)+(-7-101+500)</f>
        <v>11295</v>
      </c>
      <c r="BA4" s="7">
        <f>10082+(-155+1000)+(-7-114+500)</f>
        <v>11306</v>
      </c>
      <c r="BB4" s="7">
        <f>10240+(-40+1000)+(-7-114+500)</f>
        <v>11579</v>
      </c>
      <c r="BC4" s="7">
        <f>10308+(-11+1000)+(-7-101+500)</f>
        <v>11689</v>
      </c>
      <c r="BD4" s="7">
        <f>10055+(-11+1000)+(-7-140+500)</f>
        <v>11397</v>
      </c>
      <c r="BE4" s="7">
        <f>10055+(-11+1000)+(-7-141+500)</f>
        <v>11396</v>
      </c>
      <c r="BF4" s="7">
        <f>9923+(-11+1000)+(-7-137+500)</f>
        <v>11268</v>
      </c>
      <c r="BG4" s="7">
        <f>9720+(-11+1000)+(-7-137+500)</f>
        <v>11065</v>
      </c>
      <c r="BH4" s="7">
        <f>9983+(-11+1000)+(-7-137+500)</f>
        <v>11328</v>
      </c>
      <c r="BI4" s="7">
        <f>9955+(-11+1000)+(-7-135+500)</f>
        <v>11302</v>
      </c>
      <c r="BJ4" s="7">
        <f>10210+(-11+1000)+(-7-135+500)</f>
        <v>11557</v>
      </c>
      <c r="BK4" s="7">
        <f>10251+(-11+1000)+(-7-138+500)</f>
        <v>11595</v>
      </c>
      <c r="BL4" s="7">
        <f>10576+(-11+1000)+(-7-141+500)</f>
        <v>11917</v>
      </c>
      <c r="BM4" s="7">
        <f>10325+(-11+1000)+(-7-142+500)</f>
        <v>11665</v>
      </c>
      <c r="BN4" s="7">
        <f>10314+(-11+1000)+(-7-142+500)</f>
        <v>11654</v>
      </c>
      <c r="BO4" s="7">
        <f>10022+(-11+1000)+(-7-144+500)</f>
        <v>11360</v>
      </c>
      <c r="BP4" s="7">
        <f>9883+(-11+1000)+(-7-144+500)</f>
        <v>11221</v>
      </c>
      <c r="BQ4" s="7">
        <f>9883+(-11+1000)+(-7-144+500)</f>
        <v>11221</v>
      </c>
      <c r="BR4" s="7">
        <f>9937+(-11+1000)+(-7-148+500)</f>
        <v>11271</v>
      </c>
      <c r="BS4" s="7">
        <f>9749+(-7-152+500)</f>
        <v>10090</v>
      </c>
      <c r="BT4" s="7">
        <f>9644+(-7-152+500)</f>
        <v>9985</v>
      </c>
      <c r="BU4" s="7">
        <f>9496+(-7-154+500)</f>
        <v>9835</v>
      </c>
      <c r="BV4" s="7">
        <f>9496+(-7-154+500)</f>
        <v>9835</v>
      </c>
      <c r="BW4" s="7">
        <f>9504+(-7-145+500)</f>
        <v>9852</v>
      </c>
      <c r="BX4" s="7">
        <f>9445+(-7-145+500)</f>
        <v>9793</v>
      </c>
      <c r="BY4" s="7">
        <f>9572+(-7-145+500)</f>
        <v>9920</v>
      </c>
      <c r="BZ4" s="7">
        <f>8955+(-7-127+500)</f>
        <v>9321</v>
      </c>
      <c r="CA4" s="7">
        <f>8955+(-7-117+500)</f>
        <v>9331</v>
      </c>
      <c r="CB4" s="7">
        <f>8855+(-7-117+500)</f>
        <v>9231</v>
      </c>
      <c r="CC4" s="7">
        <f>8591+(-7-118+500)</f>
        <v>8966</v>
      </c>
      <c r="CD4" s="7">
        <f>8620+(-7-118+500)</f>
        <v>8995</v>
      </c>
      <c r="CE4" s="7">
        <f>8474+(-7-118+500)</f>
        <v>8849</v>
      </c>
      <c r="CF4" s="7">
        <f>8492+(-7-119+500)</f>
        <v>8866</v>
      </c>
      <c r="CG4" s="7">
        <f>8413+(-7-96+500)</f>
        <v>8810</v>
      </c>
      <c r="CH4" s="7">
        <f>8500+(-7-94+500)</f>
        <v>8899</v>
      </c>
      <c r="CI4" s="7">
        <f>8500+(-7-94+500)</f>
        <v>8899</v>
      </c>
      <c r="CJ4" s="7">
        <f>8337+(-7-94+500)</f>
        <v>8736</v>
      </c>
      <c r="CK4" s="7">
        <f>8556+(-7-94+500)</f>
        <v>8955</v>
      </c>
      <c r="CL4" s="7">
        <f>7096+(-7-94+500)</f>
        <v>7495</v>
      </c>
      <c r="CM4" s="7">
        <f>7301+(-7-94+500)</f>
        <v>7700</v>
      </c>
      <c r="CN4" s="7">
        <f>7643+(-7-48+500)</f>
        <v>8088</v>
      </c>
      <c r="CO4" s="7">
        <f>7718+(-7-48+500)</f>
        <v>8163</v>
      </c>
      <c r="CP4" s="7">
        <f>8525+(-7-53+500)</f>
        <v>8965</v>
      </c>
      <c r="CQ4" s="7">
        <f>8479+(-7-52+500)</f>
        <v>8920</v>
      </c>
      <c r="CR4" s="7">
        <f>8394+(-7-52+500)</f>
        <v>8835</v>
      </c>
      <c r="CS4" s="7">
        <f>8026+(-7-48+500)</f>
        <v>8471</v>
      </c>
      <c r="CT4" s="7">
        <f>8070+(-7-49+500)</f>
        <v>8514</v>
      </c>
      <c r="CU4" s="7">
        <f>8116+(-7-49+500)</f>
        <v>8560</v>
      </c>
      <c r="CV4" s="7">
        <f>8380+(-7-49+500)</f>
        <v>8824</v>
      </c>
      <c r="CW4" s="7">
        <f>8374+(-7-49+500)</f>
        <v>8818</v>
      </c>
      <c r="CX4" s="7">
        <f>8411+(-7-49+500)</f>
        <v>8855</v>
      </c>
      <c r="CY4" s="7">
        <f>8305+(-7-33+500)</f>
        <v>8765</v>
      </c>
      <c r="CZ4" s="7">
        <f>8462+(-7-33+500)</f>
        <v>8922</v>
      </c>
      <c r="DA4" s="7">
        <f>8620+(-7-90+500)</f>
        <v>9023</v>
      </c>
      <c r="DB4" s="7">
        <f>8619+(-7-57+500)</f>
        <v>9055</v>
      </c>
      <c r="DC4" s="7">
        <f>8562+(-7-57+500)</f>
        <v>8998</v>
      </c>
      <c r="DD4" s="7">
        <f>8702+(-7-57+500)</f>
        <v>9138</v>
      </c>
      <c r="DE4" s="7">
        <f>8775+(-7-57+500)</f>
        <v>9211</v>
      </c>
      <c r="DF4" s="7">
        <f>8650+(-7-57+500)</f>
        <v>9086</v>
      </c>
      <c r="DG4" s="7">
        <f>8696+(-7-57+500)</f>
        <v>9132</v>
      </c>
      <c r="DH4" s="7">
        <f>8579+(-7-58+500)</f>
        <v>9014</v>
      </c>
      <c r="DI4" s="7">
        <f>8811+(-7-58+500)</f>
        <v>9246</v>
      </c>
      <c r="DJ4" s="7">
        <f>9487+(-7-76+500)</f>
        <v>9904</v>
      </c>
      <c r="DK4" s="7">
        <f>9487+(-7-80+500)</f>
        <v>9900</v>
      </c>
      <c r="DL4" s="7">
        <f>9576+(-7-80+500)</f>
        <v>9989</v>
      </c>
      <c r="DM4" s="7">
        <f>9591+(-7-76+500)</f>
        <v>10008</v>
      </c>
      <c r="DN4" s="7">
        <f>9858+(-7-71+500)</f>
        <v>10280</v>
      </c>
      <c r="DO4" s="7">
        <f>9858+(-7-71+500)</f>
        <v>10280</v>
      </c>
      <c r="DP4" s="7">
        <f>10467+(-7-71+500)</f>
        <v>10889</v>
      </c>
      <c r="DQ4" s="7">
        <f>10464+(-7-72+500)</f>
        <v>10885</v>
      </c>
      <c r="DR4" s="7">
        <f>10645+(-7-71+500)</f>
        <v>11067</v>
      </c>
      <c r="DS4" s="7">
        <f>10764+(-7-79+500)+550</f>
        <v>11728</v>
      </c>
      <c r="DT4" s="7">
        <f>10922+(-7-132+500)+400</f>
        <v>11683</v>
      </c>
      <c r="DU4" s="7">
        <f>11228+(-7-132+500)+430</f>
        <v>12019</v>
      </c>
      <c r="DV4" s="7">
        <f>10899+(-7-133+500)+515</f>
        <v>11774</v>
      </c>
      <c r="DW4" s="7">
        <f>10875+(-7-128+500)+607</f>
        <v>11847</v>
      </c>
      <c r="DX4" s="7">
        <f>11065+(-7-124+500)+314</f>
        <v>11748</v>
      </c>
      <c r="DY4" s="7">
        <f>11134+(-7-160+500)+908</f>
        <v>12375</v>
      </c>
      <c r="DZ4" s="7">
        <f>11501+(-7-113+500)+1000</f>
        <v>12881</v>
      </c>
      <c r="EA4" s="7">
        <f>11942+(-7-113+500)+700</f>
        <v>13022</v>
      </c>
      <c r="EB4" s="7">
        <f>12150+(-7-113+500)</f>
        <v>12530</v>
      </c>
      <c r="EC4" s="7">
        <f>12066+(-7-108+500)</f>
        <v>12451</v>
      </c>
      <c r="ED4" s="7">
        <f>12437+(-7-118+500)+600</f>
        <v>13412</v>
      </c>
      <c r="EE4" s="7">
        <f>12427+(-7-123+500)+600</f>
        <v>13397</v>
      </c>
      <c r="EF4" s="7">
        <f>12899+(-7-143+500)+1000</f>
        <v>14249</v>
      </c>
      <c r="EG4" s="7">
        <f>12781+(-7-155+500)+1000</f>
        <v>14119</v>
      </c>
      <c r="EH4" s="7">
        <f>12780+(-7-158+500)+255</f>
        <v>13370</v>
      </c>
      <c r="EI4" s="7">
        <f>12896+(-7-148+500)+255</f>
        <v>13496</v>
      </c>
      <c r="EJ4" s="7">
        <f>12875+(-7-146+500)+66</f>
        <v>13288</v>
      </c>
      <c r="EK4" s="7">
        <f>12460+(-7-38+500)+200</f>
        <v>13115</v>
      </c>
      <c r="EL4" s="7">
        <f>12469+(-7-38+500)+180</f>
        <v>13104</v>
      </c>
      <c r="EM4" s="7">
        <f>12469+(-7-38+500)+180</f>
        <v>13104</v>
      </c>
      <c r="EN4" s="7">
        <f>12289+(-7-38+500)+150</f>
        <v>12894</v>
      </c>
      <c r="EO4" s="7">
        <f>12289+(-7-38+500)+150</f>
        <v>12894</v>
      </c>
      <c r="EP4" s="7">
        <f>12055+(-7-38+500)+150</f>
        <v>12660</v>
      </c>
      <c r="EQ4" s="7">
        <f>11698+(-7-38+500)</f>
        <v>12153</v>
      </c>
      <c r="ER4" s="7">
        <f>11410+(-7-38+500)+25</f>
        <v>11890</v>
      </c>
      <c r="ES4" s="7">
        <f>11470+(-8-36+500)+10</f>
        <v>11936</v>
      </c>
      <c r="ET4" s="7">
        <f>11722+(-8-36+500)</f>
        <v>12178</v>
      </c>
      <c r="EU4" s="7">
        <f>11939+(-8-36+500)</f>
        <v>12395</v>
      </c>
      <c r="EV4" s="7">
        <f>11891+(-8-36+500)</f>
        <v>12347</v>
      </c>
      <c r="EW4" s="7">
        <f>12307+(-8-36+500)</f>
        <v>12763</v>
      </c>
      <c r="EX4" s="7">
        <f>12307+(-8-36+500)</f>
        <v>12763</v>
      </c>
      <c r="EY4" s="7">
        <f>12513+(-8-40+500)</f>
        <v>12965</v>
      </c>
      <c r="EZ4" s="7">
        <f>11300+(-7+500)</f>
        <v>11793</v>
      </c>
      <c r="FA4" s="7">
        <f>11377+(-7+500)</f>
        <v>11870</v>
      </c>
      <c r="FB4" s="7">
        <f>11572+(-7+500)</f>
        <v>12065</v>
      </c>
      <c r="FC4" s="7">
        <f>11572+(-7+500)</f>
        <v>12065</v>
      </c>
      <c r="FD4" s="7">
        <f>12317</f>
        <v>12317</v>
      </c>
      <c r="FE4" s="7">
        <v>12143</v>
      </c>
      <c r="FF4" s="7">
        <v>12055</v>
      </c>
      <c r="FG4" s="7">
        <v>12039</v>
      </c>
      <c r="FH4" s="7">
        <v>12039</v>
      </c>
      <c r="FI4" s="7">
        <v>12215</v>
      </c>
      <c r="FJ4" s="7">
        <v>12158</v>
      </c>
      <c r="FK4" s="7">
        <v>12054</v>
      </c>
      <c r="FL4" s="7">
        <v>11960</v>
      </c>
      <c r="FM4" s="7">
        <v>12119</v>
      </c>
      <c r="FN4" s="7">
        <v>12286</v>
      </c>
      <c r="FO4" s="7">
        <v>12008</v>
      </c>
      <c r="FP4" s="7">
        <v>12085</v>
      </c>
      <c r="FQ4" s="7">
        <v>12202</v>
      </c>
      <c r="FR4" s="7">
        <v>12568</v>
      </c>
      <c r="FS4" s="7">
        <v>12675</v>
      </c>
      <c r="FT4" s="7">
        <v>12675</v>
      </c>
      <c r="FU4" s="7">
        <v>12677</v>
      </c>
      <c r="FV4" s="7">
        <v>12690</v>
      </c>
      <c r="FW4" s="7">
        <v>13037</v>
      </c>
      <c r="FX4" s="7">
        <v>12801</v>
      </c>
      <c r="FY4" s="7"/>
      <c r="FZ4" s="7">
        <v>12652</v>
      </c>
      <c r="GA4" s="7">
        <v>12799</v>
      </c>
      <c r="GB4" s="7">
        <v>13085</v>
      </c>
      <c r="GC4" s="7">
        <v>14114</v>
      </c>
      <c r="GD4" s="7">
        <v>14359</v>
      </c>
      <c r="GE4" s="7">
        <v>14506</v>
      </c>
      <c r="GF4" s="7">
        <v>14436</v>
      </c>
      <c r="GG4" s="7">
        <v>14550</v>
      </c>
      <c r="GH4" s="7">
        <v>14372</v>
      </c>
      <c r="GI4" s="7">
        <v>14259</v>
      </c>
      <c r="GJ4" s="7">
        <v>13268</v>
      </c>
      <c r="GK4" s="7">
        <v>13083</v>
      </c>
      <c r="GL4" s="7">
        <v>13316</v>
      </c>
      <c r="GM4" s="7">
        <v>13276</v>
      </c>
      <c r="GN4" s="7">
        <v>13509</v>
      </c>
      <c r="GO4" s="7">
        <v>13331</v>
      </c>
      <c r="GP4" s="7">
        <v>13473</v>
      </c>
      <c r="GQ4" s="7">
        <v>13303</v>
      </c>
      <c r="GR4" s="7">
        <v>13255</v>
      </c>
      <c r="GS4" s="7">
        <v>13156</v>
      </c>
      <c r="GT4" s="7">
        <v>12432</v>
      </c>
      <c r="GU4" s="7">
        <v>12314</v>
      </c>
      <c r="GV4" s="7">
        <v>12656</v>
      </c>
      <c r="GW4" s="7">
        <v>13183</v>
      </c>
      <c r="GX4" s="7">
        <v>12920</v>
      </c>
      <c r="GY4" s="7">
        <v>12424</v>
      </c>
      <c r="GZ4" s="7">
        <v>12578</v>
      </c>
      <c r="HA4" s="7">
        <v>12289</v>
      </c>
      <c r="HB4" s="7">
        <v>12203</v>
      </c>
      <c r="HC4" s="7">
        <v>12370</v>
      </c>
      <c r="HD4" s="7">
        <v>12438</v>
      </c>
      <c r="HE4" s="7">
        <v>12632</v>
      </c>
      <c r="HF4" s="7">
        <v>12872</v>
      </c>
      <c r="HG4" s="7">
        <v>13096</v>
      </c>
      <c r="HH4" s="7">
        <v>13213</v>
      </c>
      <c r="HI4" s="7">
        <v>12755</v>
      </c>
      <c r="HJ4" s="7">
        <v>12927</v>
      </c>
      <c r="HK4" s="7">
        <v>13255</v>
      </c>
      <c r="HL4" s="7">
        <v>13184</v>
      </c>
      <c r="HM4" s="7">
        <v>13135</v>
      </c>
      <c r="HN4" s="7">
        <v>13055</v>
      </c>
      <c r="HO4" s="7">
        <v>14126</v>
      </c>
      <c r="HP4" s="7">
        <v>14347</v>
      </c>
      <c r="HQ4" s="7">
        <v>14984</v>
      </c>
      <c r="HR4" s="7">
        <v>15545</v>
      </c>
      <c r="HS4" s="7">
        <v>15545</v>
      </c>
      <c r="HT4" s="7">
        <v>15977</v>
      </c>
      <c r="HU4" s="7">
        <v>16404</v>
      </c>
      <c r="HV4" s="7">
        <v>16795</v>
      </c>
      <c r="HW4" s="7">
        <v>17062</v>
      </c>
      <c r="HX4" s="7">
        <v>17131</v>
      </c>
      <c r="HY4" s="7">
        <v>17152</v>
      </c>
      <c r="HZ4" s="7">
        <v>17492</v>
      </c>
      <c r="IA4" s="7">
        <v>17283</v>
      </c>
      <c r="IB4" s="7">
        <v>17383</v>
      </c>
      <c r="IC4" s="7">
        <v>17443</v>
      </c>
      <c r="ID4" s="7">
        <v>17562</v>
      </c>
      <c r="IE4" s="7">
        <v>17812</v>
      </c>
      <c r="IF4" s="7">
        <v>17970</v>
      </c>
      <c r="IG4" s="7">
        <v>17928</v>
      </c>
      <c r="IH4" s="7">
        <v>18040</v>
      </c>
      <c r="II4" s="7">
        <v>17739</v>
      </c>
      <c r="IJ4" s="7">
        <v>17306</v>
      </c>
      <c r="IK4" s="7">
        <v>17386</v>
      </c>
      <c r="IL4" s="7">
        <v>17386</v>
      </c>
      <c r="IM4" s="7">
        <v>16596</v>
      </c>
      <c r="IN4" s="7">
        <v>16012</v>
      </c>
      <c r="IO4" s="7">
        <v>16064</v>
      </c>
      <c r="IP4" s="7">
        <v>16235</v>
      </c>
      <c r="IQ4" s="7">
        <v>16342</v>
      </c>
      <c r="IR4" s="7">
        <v>16340</v>
      </c>
      <c r="IS4" s="7">
        <v>16154</v>
      </c>
      <c r="IT4" s="7">
        <v>16130</v>
      </c>
      <c r="IU4" s="7">
        <v>15865</v>
      </c>
      <c r="IV4" s="7">
        <v>15991</v>
      </c>
      <c r="IW4" s="7">
        <v>15993</v>
      </c>
      <c r="IX4" s="7">
        <v>15988</v>
      </c>
      <c r="IY4" s="7">
        <v>15538</v>
      </c>
      <c r="IZ4" s="7">
        <v>15336</v>
      </c>
      <c r="JA4" s="7">
        <v>16407</v>
      </c>
      <c r="JB4" s="7">
        <v>16438</v>
      </c>
      <c r="JC4" s="7">
        <v>16671</v>
      </c>
      <c r="JD4" s="7">
        <v>18031</v>
      </c>
      <c r="JE4" s="7">
        <v>18025</v>
      </c>
      <c r="JF4" s="7">
        <v>17970</v>
      </c>
      <c r="JG4" s="7">
        <v>18086</v>
      </c>
      <c r="JH4" s="7">
        <v>18822</v>
      </c>
      <c r="JI4" s="7">
        <v>18922</v>
      </c>
      <c r="JJ4" s="7">
        <v>19200</v>
      </c>
      <c r="JK4" s="7">
        <v>19861</v>
      </c>
      <c r="JL4" s="7">
        <v>19438</v>
      </c>
      <c r="JM4" s="7">
        <v>18979</v>
      </c>
      <c r="JN4" s="7">
        <v>18482</v>
      </c>
      <c r="JO4" s="7">
        <v>18623</v>
      </c>
      <c r="JP4" s="7">
        <v>18064</v>
      </c>
      <c r="JQ4" s="7">
        <v>17972</v>
      </c>
      <c r="JR4" s="7">
        <v>18396</v>
      </c>
      <c r="JS4" s="7">
        <v>18149</v>
      </c>
      <c r="JT4" s="7">
        <v>17629</v>
      </c>
      <c r="JU4" s="7">
        <v>16993</v>
      </c>
      <c r="JV4" s="7">
        <v>16870</v>
      </c>
      <c r="JW4" s="103">
        <v>16746</v>
      </c>
      <c r="JX4" s="475"/>
      <c r="JY4" s="24" t="s">
        <v>50</v>
      </c>
      <c r="JZ4" s="6" t="s">
        <v>47</v>
      </c>
      <c r="KA4" s="15"/>
      <c r="KB4" s="6" t="s">
        <v>50</v>
      </c>
      <c r="KC4" s="7">
        <v>16562</v>
      </c>
      <c r="KD4" s="7">
        <v>16264</v>
      </c>
      <c r="KE4" s="7">
        <v>15779</v>
      </c>
      <c r="KF4" s="7">
        <v>15725</v>
      </c>
      <c r="KG4" s="7">
        <v>16029</v>
      </c>
      <c r="KH4" s="7">
        <v>15786</v>
      </c>
      <c r="KI4" s="7">
        <v>15524</v>
      </c>
      <c r="KJ4" s="7">
        <v>15595</v>
      </c>
      <c r="KL4" s="6" t="s">
        <v>50</v>
      </c>
      <c r="KM4" s="7">
        <v>15639</v>
      </c>
      <c r="KN4" s="7">
        <v>15443</v>
      </c>
      <c r="KO4" s="7">
        <v>15572</v>
      </c>
      <c r="KP4" s="7">
        <v>15404</v>
      </c>
      <c r="KQ4" s="7">
        <v>15234</v>
      </c>
      <c r="KR4" s="7">
        <v>14918</v>
      </c>
      <c r="KS4" s="7">
        <v>15369</v>
      </c>
      <c r="KT4" s="7">
        <v>15939</v>
      </c>
      <c r="KU4" s="7">
        <v>15411</v>
      </c>
      <c r="KV4" s="7">
        <v>15189</v>
      </c>
      <c r="KW4" s="7">
        <v>15345</v>
      </c>
      <c r="KX4" s="7">
        <v>15446</v>
      </c>
      <c r="KY4" s="7">
        <v>15289</v>
      </c>
      <c r="KZ4" s="7">
        <v>15181</v>
      </c>
      <c r="LA4" s="7">
        <v>15181</v>
      </c>
      <c r="LB4" s="7">
        <v>15126</v>
      </c>
      <c r="LC4" s="7">
        <v>15326</v>
      </c>
      <c r="LD4" s="7">
        <v>14628</v>
      </c>
      <c r="LE4" s="7">
        <v>14628</v>
      </c>
      <c r="LF4" s="7">
        <v>15020</v>
      </c>
      <c r="LG4" s="10">
        <f>14447+761-31.85</f>
        <v>15176.15</v>
      </c>
      <c r="LH4" s="10">
        <f>14615+761-31.85</f>
        <v>15344.15</v>
      </c>
      <c r="LI4" s="10">
        <f>14030+761-31.85</f>
        <v>14759.15</v>
      </c>
      <c r="LJ4" s="10">
        <f>13998+761-77</f>
        <v>14682</v>
      </c>
      <c r="LK4" s="10">
        <f>14392+761-110</f>
        <v>15043</v>
      </c>
      <c r="LL4" s="10">
        <f>14422+761-131</f>
        <v>15052</v>
      </c>
      <c r="LM4" s="10">
        <f>14537+761-133</f>
        <v>15165</v>
      </c>
      <c r="LN4" s="10">
        <f>14344+761-142</f>
        <v>14963</v>
      </c>
      <c r="LO4" s="10">
        <f>14286+761-175</f>
        <v>14872</v>
      </c>
      <c r="LP4" s="10">
        <f>14740+761-202</f>
        <v>15299</v>
      </c>
      <c r="LQ4" s="10">
        <f>14753+761-221</f>
        <v>15293</v>
      </c>
      <c r="LR4" s="10">
        <f>14946+761-244</f>
        <v>15463</v>
      </c>
      <c r="LS4" s="10">
        <f>14842+761-270</f>
        <v>15333</v>
      </c>
      <c r="LT4" s="10">
        <f>14776+761-294</f>
        <v>15243</v>
      </c>
      <c r="LU4" s="10">
        <f>15265+761-338</f>
        <v>15688</v>
      </c>
      <c r="LV4" s="10">
        <f>15179+761-368</f>
        <v>15572</v>
      </c>
      <c r="LW4" s="10">
        <f>15346+761-413</f>
        <v>15694</v>
      </c>
      <c r="LX4" s="10">
        <f>15354+761-444</f>
        <v>15671</v>
      </c>
      <c r="LY4" s="10">
        <f>15528+761-435</f>
        <v>15854</v>
      </c>
      <c r="LZ4" s="10">
        <f>15087+761-468</f>
        <v>15380</v>
      </c>
      <c r="MA4" s="10">
        <f>15207+761-498</f>
        <v>15470</v>
      </c>
      <c r="MB4" s="10">
        <f>15044+761-516</f>
        <v>15289</v>
      </c>
      <c r="MC4" s="10">
        <f>15178+761-532</f>
        <v>15407</v>
      </c>
      <c r="MD4" s="10">
        <f>14755+761-536</f>
        <v>14980</v>
      </c>
      <c r="ME4" s="10">
        <f>14735+761-605</f>
        <v>14891</v>
      </c>
      <c r="MF4" s="10">
        <f>15149+761-637</f>
        <v>15273</v>
      </c>
      <c r="MG4" s="10">
        <f>15071+761-627</f>
        <v>15205</v>
      </c>
      <c r="MH4" s="10">
        <f>15182+761-643</f>
        <v>15300</v>
      </c>
      <c r="MI4" s="10">
        <f>15559+761-674</f>
        <v>15646</v>
      </c>
      <c r="MJ4" s="10">
        <f>15407+761-729</f>
        <v>15439</v>
      </c>
      <c r="MK4" s="10">
        <f>15684+761-750</f>
        <v>15695</v>
      </c>
      <c r="ML4" s="10">
        <f>15964+761-775</f>
        <v>15950</v>
      </c>
      <c r="MM4" s="10">
        <f>16160+761-711</f>
        <v>16210</v>
      </c>
      <c r="MN4" s="10">
        <f>15897+761-723</f>
        <v>15935</v>
      </c>
      <c r="MO4" s="10">
        <f>15567+761-774</f>
        <v>15554</v>
      </c>
      <c r="MP4" s="10">
        <f>16058+761-799</f>
        <v>16020</v>
      </c>
      <c r="MQ4" s="10">
        <f>15648+761-782</f>
        <v>15627</v>
      </c>
      <c r="MR4" s="10">
        <f>15609+761-830</f>
        <v>15540</v>
      </c>
      <c r="MS4" s="10">
        <f>16086+761-864</f>
        <v>15983</v>
      </c>
      <c r="MT4" s="10">
        <f>16480+761-866</f>
        <v>16375</v>
      </c>
      <c r="MU4" s="10">
        <f>16401+761-848</f>
        <v>16314</v>
      </c>
      <c r="MV4" s="10">
        <f>16253+761-888</f>
        <v>16126</v>
      </c>
      <c r="MW4" s="10">
        <f>16368+761-891</f>
        <v>16238</v>
      </c>
      <c r="MX4" s="10">
        <f>16720+761-903</f>
        <v>16578</v>
      </c>
      <c r="MY4" s="10">
        <f>16720+761-903</f>
        <v>16578</v>
      </c>
      <c r="MZ4" s="10">
        <f>17023+761-896</f>
        <v>16888</v>
      </c>
      <c r="NA4" s="10">
        <f>16861+761-926</f>
        <v>16696</v>
      </c>
      <c r="NB4" s="10">
        <f>17148+761-923</f>
        <v>16986</v>
      </c>
      <c r="NC4" s="10">
        <f>17087+761-923</f>
        <v>16925</v>
      </c>
      <c r="ND4" s="10">
        <f>16764+761-924</f>
        <v>16601</v>
      </c>
      <c r="NE4" s="10">
        <f>16200+761-914</f>
        <v>16047</v>
      </c>
      <c r="NF4" s="10">
        <f>16055+761-915</f>
        <v>15901</v>
      </c>
      <c r="NG4" s="10">
        <f>16141+761-858</f>
        <v>16044</v>
      </c>
      <c r="NH4" s="10">
        <f>15332+761-537</f>
        <v>15556</v>
      </c>
      <c r="NI4" s="10">
        <f>14297+761-279</f>
        <v>14779</v>
      </c>
      <c r="NJ4" s="10">
        <f>14298+761-279</f>
        <v>14780</v>
      </c>
      <c r="NK4" s="10">
        <f>14320+761-240</f>
        <v>14841</v>
      </c>
      <c r="NL4" s="10">
        <f>14516+761-83</f>
        <v>15194</v>
      </c>
      <c r="NM4" s="10">
        <f>14490+761-83</f>
        <v>15168</v>
      </c>
      <c r="NN4" s="10">
        <f>13891+761-83</f>
        <v>14569</v>
      </c>
      <c r="NO4" s="10">
        <f>13804+761-83</f>
        <v>14482</v>
      </c>
      <c r="NP4" s="10">
        <f>13721+761-83</f>
        <v>14399</v>
      </c>
      <c r="NQ4" s="10">
        <f>13350+761-83.87</f>
        <v>14027.13</v>
      </c>
      <c r="NR4" s="10">
        <f>13154+761-83.87</f>
        <v>13831.13</v>
      </c>
      <c r="NS4" s="10">
        <f>12803</f>
        <v>12803</v>
      </c>
      <c r="NT4" s="10">
        <f>12800</f>
        <v>12800</v>
      </c>
      <c r="NU4" s="10">
        <f>12931</f>
        <v>12931</v>
      </c>
      <c r="NV4" s="10">
        <f>13061</f>
        <v>13061</v>
      </c>
      <c r="NW4" s="10">
        <v>13248</v>
      </c>
      <c r="NX4" s="10">
        <v>13315</v>
      </c>
      <c r="NY4" s="10">
        <v>13216</v>
      </c>
      <c r="NZ4" s="10">
        <v>13082</v>
      </c>
      <c r="OA4" s="10">
        <v>12841</v>
      </c>
      <c r="OB4" s="10">
        <v>12570</v>
      </c>
      <c r="OC4" s="10">
        <v>12421</v>
      </c>
      <c r="OD4" s="10">
        <v>12395</v>
      </c>
      <c r="OE4" s="10">
        <v>12539</v>
      </c>
      <c r="OF4" s="10">
        <v>12522</v>
      </c>
      <c r="OG4" s="10">
        <v>12636</v>
      </c>
      <c r="OH4" s="10">
        <v>12504</v>
      </c>
      <c r="OI4" s="10">
        <v>12489</v>
      </c>
      <c r="OJ4" s="10">
        <v>12555</v>
      </c>
      <c r="OK4" s="10">
        <v>12783</v>
      </c>
      <c r="OL4" s="10">
        <v>12688</v>
      </c>
      <c r="OM4" s="10">
        <v>12376</v>
      </c>
      <c r="ON4" s="10">
        <v>12457</v>
      </c>
      <c r="OO4" s="10">
        <v>12339</v>
      </c>
      <c r="OP4" s="10">
        <v>12359.95</v>
      </c>
      <c r="OQ4" s="10">
        <v>12730.1</v>
      </c>
      <c r="OR4" s="10">
        <v>12557.83</v>
      </c>
      <c r="OS4" s="10">
        <v>12573.98</v>
      </c>
      <c r="OT4" s="10">
        <v>12375.5</v>
      </c>
      <c r="OU4" s="10">
        <v>12687.61</v>
      </c>
      <c r="OV4" s="10">
        <v>12656.27</v>
      </c>
      <c r="OW4" s="10">
        <v>12583.05</v>
      </c>
      <c r="OX4" s="10">
        <v>13345.24</v>
      </c>
      <c r="OY4" s="10">
        <v>13294.37</v>
      </c>
      <c r="OZ4" s="10">
        <v>13426.84</v>
      </c>
      <c r="PA4" s="10">
        <v>13501.17</v>
      </c>
      <c r="PB4" s="10">
        <v>13632.28</v>
      </c>
      <c r="PC4" s="10">
        <v>13769.53</v>
      </c>
      <c r="PD4" s="10">
        <v>13703.91</v>
      </c>
      <c r="PE4" s="10">
        <v>13883.35</v>
      </c>
      <c r="PF4" s="10">
        <v>14023.2</v>
      </c>
      <c r="PG4" s="10">
        <v>14374.04</v>
      </c>
      <c r="PH4" s="10">
        <v>14069.68</v>
      </c>
      <c r="PI4" s="10">
        <v>13863.58</v>
      </c>
      <c r="PJ4" s="10">
        <v>14092.66</v>
      </c>
      <c r="PK4" s="10">
        <v>14249.58</v>
      </c>
      <c r="PL4" s="10">
        <v>14351.28</v>
      </c>
      <c r="PM4" s="10">
        <v>14275.78</v>
      </c>
      <c r="PN4" s="10">
        <v>13899.58</v>
      </c>
      <c r="PO4" s="10">
        <v>13974.6</v>
      </c>
      <c r="PP4" s="10">
        <v>13905.56</v>
      </c>
      <c r="PQ4" s="10">
        <v>14197.7</v>
      </c>
      <c r="PR4" s="10">
        <v>14248.81</v>
      </c>
      <c r="PS4" s="10">
        <v>14426.74</v>
      </c>
      <c r="PT4" s="10">
        <v>15291.48</v>
      </c>
      <c r="PU4" s="10">
        <v>15441.56</v>
      </c>
      <c r="PV4" s="10">
        <v>15701.47</v>
      </c>
      <c r="PW4" s="10">
        <v>16112.24</v>
      </c>
      <c r="PX4" s="10">
        <v>15177.86</v>
      </c>
      <c r="PY4" s="10">
        <v>15009.7</v>
      </c>
      <c r="PZ4" s="10">
        <v>14940.64</v>
      </c>
      <c r="QA4" s="10">
        <v>14774.89</v>
      </c>
      <c r="QB4" s="10">
        <v>15164.64</v>
      </c>
      <c r="QC4" s="10">
        <v>15225.83</v>
      </c>
      <c r="QD4" s="10">
        <v>15105.13</v>
      </c>
      <c r="QE4" s="10">
        <v>15367.79</v>
      </c>
      <c r="QF4" s="10">
        <v>15428.43</v>
      </c>
      <c r="QG4" s="10">
        <v>15066.36</v>
      </c>
      <c r="QH4" s="10">
        <v>15040.81</v>
      </c>
      <c r="QI4" s="10">
        <v>15221.68</v>
      </c>
      <c r="QJ4" s="10">
        <v>15204.32</v>
      </c>
      <c r="QK4" s="10">
        <v>15372.69</v>
      </c>
      <c r="QL4" s="10">
        <v>15170.37</v>
      </c>
      <c r="QM4" s="10">
        <v>15572.72</v>
      </c>
      <c r="QN4" s="10">
        <v>15457.05</v>
      </c>
      <c r="QO4" s="10">
        <v>15371.23</v>
      </c>
      <c r="QP4" s="10">
        <v>15360.45</v>
      </c>
      <c r="QQ4" s="10">
        <v>15305.23</v>
      </c>
      <c r="QR4" s="10">
        <v>15679.69</v>
      </c>
      <c r="QS4" s="10">
        <v>16324.47</v>
      </c>
      <c r="QT4" s="10">
        <v>16711.61</v>
      </c>
      <c r="QU4" s="10">
        <v>17198.490000000002</v>
      </c>
      <c r="QV4" s="10">
        <v>17150.439999999999</v>
      </c>
      <c r="QW4" s="10">
        <v>17386.07</v>
      </c>
      <c r="QX4" s="10">
        <v>17369.060000000001</v>
      </c>
      <c r="QY4" s="10">
        <v>17032.169999999998</v>
      </c>
      <c r="QZ4" s="10">
        <v>16861</v>
      </c>
      <c r="RA4" s="10">
        <v>16387.62</v>
      </c>
      <c r="RB4" s="10">
        <v>16257.71</v>
      </c>
      <c r="RC4" s="10">
        <v>16177.82</v>
      </c>
      <c r="RD4" s="10">
        <v>16620.150000000001</v>
      </c>
      <c r="RE4" s="10">
        <v>16534.04</v>
      </c>
      <c r="RF4" s="10">
        <v>16982.79</v>
      </c>
      <c r="RG4" s="10">
        <v>16892.72</v>
      </c>
      <c r="RH4" s="10">
        <v>16948.95</v>
      </c>
      <c r="RI4" s="10">
        <v>17244.330000000002</v>
      </c>
      <c r="RJ4" s="10">
        <v>17192.79</v>
      </c>
      <c r="RK4" s="10">
        <v>17740.849999999999</v>
      </c>
      <c r="RL4" s="10">
        <v>17687.64</v>
      </c>
      <c r="RM4" s="10">
        <v>17769.509999999998</v>
      </c>
      <c r="RN4" s="10">
        <v>17667.77</v>
      </c>
      <c r="RO4" s="10">
        <v>17544.150000000001</v>
      </c>
      <c r="RP4" s="10">
        <v>17645.75</v>
      </c>
      <c r="RQ4" s="10">
        <v>17666.259999999998</v>
      </c>
      <c r="RR4" s="10">
        <v>17912.8</v>
      </c>
      <c r="RS4" s="10">
        <v>18586.46</v>
      </c>
      <c r="RT4" s="10">
        <v>18345.23</v>
      </c>
      <c r="RU4" s="10">
        <v>18155.79</v>
      </c>
      <c r="RV4" s="10">
        <v>17874.78</v>
      </c>
      <c r="RW4" s="10">
        <v>17739.04</v>
      </c>
      <c r="RX4" s="10">
        <v>17290.98</v>
      </c>
      <c r="RY4" s="10">
        <v>17077.509999999998</v>
      </c>
      <c r="RZ4" s="10">
        <v>17297.27</v>
      </c>
      <c r="SA4" s="10">
        <v>16916.939999999999</v>
      </c>
      <c r="SB4" s="10">
        <v>16447.849999999999</v>
      </c>
      <c r="SC4" s="10">
        <v>15911.43</v>
      </c>
      <c r="SD4" s="10">
        <v>15911.29</v>
      </c>
      <c r="SE4" s="10">
        <v>15992.99</v>
      </c>
      <c r="SF4" s="10">
        <v>15947.09</v>
      </c>
      <c r="SG4" s="10">
        <v>16195.61</v>
      </c>
      <c r="SH4" s="10">
        <v>16324.61</v>
      </c>
      <c r="SI4" s="10">
        <v>16619.21</v>
      </c>
      <c r="SJ4" s="10">
        <v>17109.3</v>
      </c>
      <c r="SK4" s="10">
        <v>17457.509999999998</v>
      </c>
      <c r="SL4" s="10">
        <v>17453.099999999999</v>
      </c>
      <c r="SM4" s="10">
        <v>17643.599999999999</v>
      </c>
      <c r="SN4" s="10">
        <v>17576.259999999998</v>
      </c>
      <c r="SO4" s="10">
        <v>17530.009999999998</v>
      </c>
      <c r="SP4" s="10">
        <v>17993.95</v>
      </c>
      <c r="SQ4" s="10">
        <v>18188.34</v>
      </c>
      <c r="SR4" s="10">
        <v>18476.18</v>
      </c>
      <c r="SS4" s="10">
        <v>18664.400000000001</v>
      </c>
      <c r="ST4" s="10">
        <v>18272.7</v>
      </c>
      <c r="SU4" s="10">
        <v>18626.099999999999</v>
      </c>
      <c r="SV4" s="10">
        <v>18806.11</v>
      </c>
      <c r="SW4" s="10">
        <v>18718.22</v>
      </c>
      <c r="SX4" s="10">
        <v>18211.59</v>
      </c>
      <c r="SY4" s="10">
        <v>17928.36</v>
      </c>
      <c r="SZ4" s="10">
        <v>18341.759999999998</v>
      </c>
      <c r="TA4" s="10">
        <v>18062.46</v>
      </c>
      <c r="TB4" s="10">
        <v>17791.62</v>
      </c>
      <c r="TC4" s="10">
        <v>18070.96</v>
      </c>
      <c r="TD4" s="10">
        <v>17851.523000000001</v>
      </c>
      <c r="TE4" s="10">
        <v>17271.619500000004</v>
      </c>
      <c r="TF4" s="10">
        <v>17620.593400000002</v>
      </c>
      <c r="TG4" s="10">
        <v>17952.159199999998</v>
      </c>
      <c r="TH4" s="10">
        <v>18259.794399999999</v>
      </c>
      <c r="TI4" s="10">
        <v>18350.175300000003</v>
      </c>
      <c r="TJ4" s="10">
        <v>18534.209000000003</v>
      </c>
      <c r="TK4" s="10">
        <v>18657.955600000005</v>
      </c>
      <c r="TL4" s="10">
        <v>18533.292600000001</v>
      </c>
      <c r="TM4" s="10">
        <v>18673.196199999998</v>
      </c>
      <c r="TN4" s="10">
        <v>18525.821599999999</v>
      </c>
      <c r="TO4" s="198">
        <v>18498.341099999998</v>
      </c>
      <c r="TP4" s="198">
        <v>18765.667400000002</v>
      </c>
      <c r="TQ4" s="198">
        <v>18853.097000000005</v>
      </c>
      <c r="TR4" s="198">
        <v>19022.881900000004</v>
      </c>
      <c r="TS4" s="198">
        <v>19214.633800000003</v>
      </c>
      <c r="TT4" s="198">
        <v>19364.540399999994</v>
      </c>
      <c r="TU4" s="198">
        <v>19366.871800000001</v>
      </c>
      <c r="TV4" s="198">
        <v>19047.1469</v>
      </c>
      <c r="TW4" s="10">
        <v>19342.205700000002</v>
      </c>
      <c r="TX4" s="10">
        <v>19456.211200000005</v>
      </c>
      <c r="TY4" s="10">
        <v>19286.8102</v>
      </c>
      <c r="TZ4" s="10">
        <v>19286.8102</v>
      </c>
      <c r="UA4" s="10">
        <v>19286.8102</v>
      </c>
      <c r="UB4" s="10">
        <v>19286.8102</v>
      </c>
      <c r="UC4" s="10"/>
      <c r="UD4" s="10"/>
      <c r="UE4" s="10"/>
      <c r="UF4" s="10">
        <v>20094.024400000006</v>
      </c>
      <c r="UG4" s="10">
        <v>20056.593499999999</v>
      </c>
      <c r="UH4" s="10">
        <v>20346.328500000007</v>
      </c>
      <c r="UI4" s="10">
        <v>20583.405599999998</v>
      </c>
      <c r="UJ4" s="10">
        <v>19868.872199999998</v>
      </c>
      <c r="UK4" s="10">
        <v>20063.8033</v>
      </c>
      <c r="UL4" s="10">
        <v>20118.201900000004</v>
      </c>
      <c r="UM4" s="10">
        <v>22683.996399999996</v>
      </c>
      <c r="UN4" s="10">
        <v>19938.719700000005</v>
      </c>
      <c r="UO4" s="10">
        <v>19816.2379</v>
      </c>
      <c r="UP4" s="10">
        <v>19010.983699999939</v>
      </c>
      <c r="UQ4" s="10">
        <v>19063.403899999954</v>
      </c>
      <c r="UR4" s="10">
        <v>18879.170999999951</v>
      </c>
      <c r="US4" s="10">
        <v>18879.170999999951</v>
      </c>
      <c r="UU4" s="113" t="s">
        <v>65</v>
      </c>
      <c r="UV4" s="10">
        <f>UX62</f>
        <v>9403.6718999999994</v>
      </c>
      <c r="UW4" s="125">
        <f t="shared" si="0"/>
        <v>0.44779389999999997</v>
      </c>
      <c r="UX4" s="126">
        <v>0</v>
      </c>
      <c r="UY4" s="48"/>
      <c r="UZ4" s="10">
        <v>0</v>
      </c>
      <c r="VA4" s="113" t="s">
        <v>65</v>
      </c>
      <c r="VB4" s="8" t="s">
        <v>47</v>
      </c>
      <c r="VC4" s="78">
        <f>'All WH'!AIR5</f>
        <v>21000</v>
      </c>
      <c r="VD4" s="7">
        <f>'All WH'!AIS5</f>
        <v>240000</v>
      </c>
      <c r="VE4">
        <v>18000</v>
      </c>
      <c r="VF4" t="s">
        <v>51</v>
      </c>
      <c r="VG4" t="s">
        <v>119</v>
      </c>
      <c r="VI4"/>
    </row>
    <row r="5" spans="1:603" x14ac:dyDescent="0.25">
      <c r="A5" s="6" t="s">
        <v>52</v>
      </c>
      <c r="B5" s="8" t="s">
        <v>47</v>
      </c>
      <c r="C5" s="7">
        <v>2000</v>
      </c>
      <c r="D5" s="7">
        <v>750</v>
      </c>
      <c r="E5" s="7">
        <v>790</v>
      </c>
      <c r="F5" s="7">
        <v>729</v>
      </c>
      <c r="G5" s="7">
        <v>720</v>
      </c>
      <c r="H5" s="7">
        <v>724</v>
      </c>
      <c r="I5" s="7">
        <v>684</v>
      </c>
      <c r="J5" s="7">
        <v>626</v>
      </c>
      <c r="K5" s="7">
        <f>J5</f>
        <v>626</v>
      </c>
      <c r="L5" s="7">
        <f>K5</f>
        <v>626</v>
      </c>
      <c r="M5" s="7">
        <v>511</v>
      </c>
      <c r="N5" s="7">
        <v>544</v>
      </c>
      <c r="O5" s="7">
        <v>719</v>
      </c>
      <c r="P5" s="7">
        <f>O5</f>
        <v>719</v>
      </c>
      <c r="Q5" s="7">
        <v>871</v>
      </c>
      <c r="R5" s="7">
        <v>901</v>
      </c>
      <c r="S5" s="7">
        <v>869</v>
      </c>
      <c r="T5" s="7">
        <v>975</v>
      </c>
      <c r="U5" s="7">
        <v>983</v>
      </c>
      <c r="V5" s="7">
        <v>972</v>
      </c>
      <c r="W5" s="7"/>
      <c r="X5" s="7"/>
      <c r="Y5" s="7">
        <v>1073</v>
      </c>
      <c r="Z5" s="7">
        <v>1079</v>
      </c>
      <c r="AA5" s="7">
        <v>1110</v>
      </c>
      <c r="AB5" s="7">
        <v>1110</v>
      </c>
      <c r="AC5" s="7">
        <v>1212</v>
      </c>
      <c r="AD5" s="7"/>
      <c r="AE5" s="7">
        <v>1238</v>
      </c>
      <c r="AF5" s="7">
        <v>1240</v>
      </c>
      <c r="AG5" s="7">
        <v>1272</v>
      </c>
      <c r="AH5" s="7">
        <v>1328</v>
      </c>
      <c r="AI5" s="7">
        <v>1328</v>
      </c>
      <c r="AJ5" s="7">
        <v>1385</v>
      </c>
      <c r="AK5" s="7">
        <v>1359</v>
      </c>
      <c r="AL5" s="7">
        <v>1406</v>
      </c>
      <c r="AM5" s="7">
        <v>1406</v>
      </c>
      <c r="AN5" s="7">
        <v>1342</v>
      </c>
      <c r="AO5" s="7">
        <v>1342</v>
      </c>
      <c r="AP5" s="7">
        <v>1328</v>
      </c>
      <c r="AQ5" s="7">
        <v>1180</v>
      </c>
      <c r="AR5" s="7">
        <v>1180</v>
      </c>
      <c r="AS5" s="7">
        <v>972</v>
      </c>
      <c r="AT5" s="7">
        <v>1090</v>
      </c>
      <c r="AU5" s="7">
        <v>1059</v>
      </c>
      <c r="AV5" s="7">
        <v>998</v>
      </c>
      <c r="AW5" s="7">
        <v>998</v>
      </c>
      <c r="AX5" s="7">
        <v>983</v>
      </c>
      <c r="AY5" s="7">
        <v>983</v>
      </c>
      <c r="AZ5" s="7">
        <v>965</v>
      </c>
      <c r="BA5" s="7">
        <v>1092</v>
      </c>
      <c r="BB5" s="7">
        <v>1120</v>
      </c>
      <c r="BC5" s="7">
        <v>1116</v>
      </c>
      <c r="BD5" s="7">
        <v>1059</v>
      </c>
      <c r="BE5" s="7">
        <v>1005</v>
      </c>
      <c r="BF5" s="7">
        <v>949</v>
      </c>
      <c r="BG5" s="7">
        <v>922</v>
      </c>
      <c r="BH5" s="7">
        <v>924</v>
      </c>
      <c r="BI5" s="7">
        <v>886</v>
      </c>
      <c r="BJ5" s="7">
        <v>890</v>
      </c>
      <c r="BK5" s="7">
        <v>881</v>
      </c>
      <c r="BL5" s="7">
        <v>977</v>
      </c>
      <c r="BM5" s="7">
        <v>980</v>
      </c>
      <c r="BN5" s="7">
        <v>943</v>
      </c>
      <c r="BO5" s="7">
        <v>942</v>
      </c>
      <c r="BP5" s="7">
        <v>942</v>
      </c>
      <c r="BQ5" s="7">
        <v>953</v>
      </c>
      <c r="BR5" s="7">
        <v>960</v>
      </c>
      <c r="BS5" s="7">
        <v>975</v>
      </c>
      <c r="BT5" s="7">
        <v>979</v>
      </c>
      <c r="BU5" s="7">
        <v>952</v>
      </c>
      <c r="BV5" s="7">
        <v>941</v>
      </c>
      <c r="BW5" s="7">
        <v>959</v>
      </c>
      <c r="BX5" s="7">
        <v>962</v>
      </c>
      <c r="BY5" s="7">
        <v>987</v>
      </c>
      <c r="BZ5" s="7">
        <v>970</v>
      </c>
      <c r="CA5" s="7">
        <v>903</v>
      </c>
      <c r="CB5" s="7">
        <v>909</v>
      </c>
      <c r="CC5" s="7">
        <v>897</v>
      </c>
      <c r="CD5" s="7">
        <v>878</v>
      </c>
      <c r="CE5" s="7">
        <v>873</v>
      </c>
      <c r="CF5" s="7">
        <v>870</v>
      </c>
      <c r="CG5" s="7">
        <v>865</v>
      </c>
      <c r="CH5" s="7">
        <v>870</v>
      </c>
      <c r="CI5" s="7">
        <v>867</v>
      </c>
      <c r="CJ5" s="7">
        <v>870</v>
      </c>
      <c r="CK5" s="7">
        <v>880</v>
      </c>
      <c r="CL5" s="7">
        <v>994</v>
      </c>
      <c r="CM5" s="7">
        <v>777</v>
      </c>
      <c r="CN5" s="7">
        <v>974</v>
      </c>
      <c r="CO5" s="7">
        <v>1039</v>
      </c>
      <c r="CP5" s="7">
        <v>1167</v>
      </c>
      <c r="CQ5" s="7">
        <v>1169</v>
      </c>
      <c r="CR5" s="7">
        <v>1147</v>
      </c>
      <c r="CS5" s="7">
        <v>1176</v>
      </c>
      <c r="CT5" s="7">
        <v>1189</v>
      </c>
      <c r="CU5" s="7">
        <v>1302</v>
      </c>
      <c r="CV5" s="7">
        <v>1284</v>
      </c>
      <c r="CW5" s="7">
        <v>911</v>
      </c>
      <c r="CX5" s="7"/>
      <c r="CY5" s="7">
        <v>824</v>
      </c>
      <c r="CZ5" s="7"/>
      <c r="DA5" s="7">
        <v>1152</v>
      </c>
      <c r="DB5" s="7">
        <v>1171</v>
      </c>
      <c r="DC5" s="7">
        <v>1034</v>
      </c>
      <c r="DD5" s="7">
        <v>964</v>
      </c>
      <c r="DE5" s="7">
        <v>952</v>
      </c>
      <c r="DF5" s="7"/>
      <c r="DG5" s="7"/>
      <c r="DH5" s="7"/>
      <c r="DI5" s="7"/>
      <c r="DJ5" s="7">
        <v>1507</v>
      </c>
      <c r="DK5" s="7"/>
      <c r="DL5" s="7">
        <v>1509</v>
      </c>
      <c r="DM5" s="7">
        <v>1816</v>
      </c>
      <c r="DN5" s="7">
        <v>1711</v>
      </c>
      <c r="DO5" s="7"/>
      <c r="DP5" s="7">
        <v>1801</v>
      </c>
      <c r="DQ5" s="7"/>
      <c r="DR5" s="7">
        <v>1733</v>
      </c>
      <c r="DS5" s="7"/>
      <c r="DT5" s="7">
        <v>1713</v>
      </c>
      <c r="DU5" s="7">
        <v>1613</v>
      </c>
      <c r="DV5" s="7">
        <v>1655</v>
      </c>
      <c r="DW5" s="7">
        <v>1635</v>
      </c>
      <c r="DX5" s="7">
        <v>1593</v>
      </c>
      <c r="DY5" s="7">
        <v>1572</v>
      </c>
      <c r="DZ5" s="7">
        <v>1541</v>
      </c>
      <c r="EA5" s="10">
        <v>1549.74</v>
      </c>
      <c r="EB5" s="10"/>
      <c r="EC5" s="10"/>
      <c r="ED5" s="10">
        <v>1539</v>
      </c>
      <c r="EE5" s="10">
        <v>1557</v>
      </c>
      <c r="EF5" s="10">
        <v>1557</v>
      </c>
      <c r="EG5" s="10">
        <v>1583</v>
      </c>
      <c r="EH5" s="10">
        <v>1562</v>
      </c>
      <c r="EI5" s="10">
        <v>1585</v>
      </c>
      <c r="EJ5" s="10">
        <v>1514</v>
      </c>
      <c r="EK5" s="10">
        <v>1417</v>
      </c>
      <c r="EL5" s="10"/>
      <c r="EM5" s="10"/>
      <c r="EN5" s="10">
        <v>1433</v>
      </c>
      <c r="EO5" s="10">
        <v>1436</v>
      </c>
      <c r="EP5" s="10">
        <v>1423</v>
      </c>
      <c r="EQ5" s="10"/>
      <c r="ER5" s="10">
        <v>1440</v>
      </c>
      <c r="ES5" s="10">
        <v>1333</v>
      </c>
      <c r="ET5" s="10"/>
      <c r="EU5" s="10">
        <v>1325</v>
      </c>
      <c r="EV5" s="10">
        <v>1305</v>
      </c>
      <c r="EW5" s="10">
        <v>1437</v>
      </c>
      <c r="EX5" s="10">
        <v>1371</v>
      </c>
      <c r="EY5" s="10">
        <v>1458</v>
      </c>
      <c r="EZ5" s="10">
        <v>1625</v>
      </c>
      <c r="FA5" s="10">
        <v>1631</v>
      </c>
      <c r="FB5" s="10">
        <v>1599</v>
      </c>
      <c r="FC5" s="10"/>
      <c r="FD5" s="10">
        <v>1586</v>
      </c>
      <c r="FE5" s="10">
        <v>1514</v>
      </c>
      <c r="FF5" s="10">
        <v>1507</v>
      </c>
      <c r="FG5" s="10">
        <v>1424</v>
      </c>
      <c r="FH5" s="10"/>
      <c r="FI5" s="10">
        <v>1488</v>
      </c>
      <c r="FJ5" s="10">
        <v>1492</v>
      </c>
      <c r="FK5" s="10">
        <v>1495</v>
      </c>
      <c r="FL5" s="10">
        <v>1515</v>
      </c>
      <c r="FM5" s="10">
        <v>1465</v>
      </c>
      <c r="FN5" s="10">
        <v>1468</v>
      </c>
      <c r="FO5" s="10">
        <v>1424</v>
      </c>
      <c r="FP5" s="10">
        <v>1472</v>
      </c>
      <c r="FQ5" s="10">
        <v>1416</v>
      </c>
      <c r="FR5" s="10">
        <v>1372</v>
      </c>
      <c r="FS5" s="10">
        <v>1342</v>
      </c>
      <c r="FT5" s="10"/>
      <c r="FU5" s="10">
        <v>1343</v>
      </c>
      <c r="FV5" s="10">
        <v>1364</v>
      </c>
      <c r="FW5" s="10">
        <v>1411</v>
      </c>
      <c r="FX5" s="10">
        <v>1356</v>
      </c>
      <c r="FY5" s="10"/>
      <c r="FZ5" s="10"/>
      <c r="GA5" s="10">
        <v>1395</v>
      </c>
      <c r="GB5" s="10">
        <v>1378</v>
      </c>
      <c r="GC5" s="10">
        <v>1467</v>
      </c>
      <c r="GD5" s="10">
        <v>1376</v>
      </c>
      <c r="GE5" s="10">
        <v>1393</v>
      </c>
      <c r="GF5" s="10">
        <v>1360</v>
      </c>
      <c r="GG5" s="10">
        <v>1413</v>
      </c>
      <c r="GH5" s="10">
        <v>1322</v>
      </c>
      <c r="GI5" s="10">
        <v>1322</v>
      </c>
      <c r="GJ5" s="10">
        <v>1322</v>
      </c>
      <c r="GK5" s="10">
        <v>1286</v>
      </c>
      <c r="GL5" s="10">
        <v>1514</v>
      </c>
      <c r="GM5" s="10">
        <v>1511</v>
      </c>
      <c r="GN5" s="10">
        <v>1492</v>
      </c>
      <c r="GO5" s="10">
        <v>1492</v>
      </c>
      <c r="GP5" s="10">
        <v>1475</v>
      </c>
      <c r="GQ5" s="10">
        <v>1487</v>
      </c>
      <c r="GR5" s="10">
        <v>1487</v>
      </c>
      <c r="GS5" s="10">
        <v>1463</v>
      </c>
      <c r="GT5" s="10">
        <v>1400</v>
      </c>
      <c r="GU5" s="10">
        <v>1394</v>
      </c>
      <c r="GV5" s="10">
        <v>1437</v>
      </c>
      <c r="GW5" s="10">
        <v>1440</v>
      </c>
      <c r="GX5" s="10">
        <v>1428</v>
      </c>
      <c r="GY5" s="10">
        <v>1402</v>
      </c>
      <c r="GZ5" s="10">
        <v>1402</v>
      </c>
      <c r="HA5" s="10">
        <v>1391</v>
      </c>
      <c r="HB5" s="10">
        <v>1391</v>
      </c>
      <c r="HC5" s="10">
        <v>1385</v>
      </c>
      <c r="HD5" s="10">
        <v>1391</v>
      </c>
      <c r="HE5" s="10">
        <v>1381</v>
      </c>
      <c r="HF5" s="10">
        <v>1373</v>
      </c>
      <c r="HG5" s="10">
        <v>1535</v>
      </c>
      <c r="HH5" s="10">
        <v>1604</v>
      </c>
      <c r="HI5" s="10">
        <v>1605</v>
      </c>
      <c r="HJ5" s="10">
        <v>1616</v>
      </c>
      <c r="HK5" s="10">
        <v>1615</v>
      </c>
      <c r="HL5" s="10">
        <v>1678</v>
      </c>
      <c r="HM5" s="10">
        <v>1670</v>
      </c>
      <c r="HN5" s="10">
        <v>1679</v>
      </c>
      <c r="HO5" s="10">
        <v>743</v>
      </c>
      <c r="HP5" s="10">
        <v>837</v>
      </c>
      <c r="HQ5" s="10">
        <v>958</v>
      </c>
      <c r="HR5" s="10">
        <v>885</v>
      </c>
      <c r="HS5" s="10">
        <v>1058</v>
      </c>
      <c r="HT5" s="10">
        <v>1068</v>
      </c>
      <c r="HU5" s="10">
        <v>1009</v>
      </c>
      <c r="HV5" s="10">
        <v>999.68</v>
      </c>
      <c r="HW5" s="10">
        <v>844</v>
      </c>
      <c r="HX5" s="10">
        <v>894</v>
      </c>
      <c r="HY5" s="10">
        <v>861</v>
      </c>
      <c r="HZ5" s="10">
        <v>813</v>
      </c>
      <c r="IA5" s="10">
        <v>763</v>
      </c>
      <c r="IB5" s="10">
        <v>842</v>
      </c>
      <c r="IC5" s="10">
        <v>699</v>
      </c>
      <c r="ID5" s="10">
        <v>746</v>
      </c>
      <c r="IE5" s="10">
        <v>713</v>
      </c>
      <c r="IF5" s="10">
        <v>625</v>
      </c>
      <c r="IG5" s="10">
        <v>675</v>
      </c>
      <c r="IH5" s="10">
        <v>726</v>
      </c>
      <c r="II5" s="10">
        <v>808</v>
      </c>
      <c r="IJ5" s="10">
        <v>755</v>
      </c>
      <c r="IK5" s="10">
        <v>692</v>
      </c>
      <c r="IL5" s="10">
        <v>707</v>
      </c>
      <c r="IM5" s="10">
        <v>707</v>
      </c>
      <c r="IN5" s="10">
        <v>607</v>
      </c>
      <c r="IO5" s="10">
        <v>596</v>
      </c>
      <c r="IP5" s="10">
        <v>596</v>
      </c>
      <c r="IQ5" s="10">
        <v>572</v>
      </c>
      <c r="IR5" s="10">
        <v>551</v>
      </c>
      <c r="IS5" s="10">
        <v>551</v>
      </c>
      <c r="IT5" s="10">
        <v>551</v>
      </c>
      <c r="IU5" s="10">
        <v>551</v>
      </c>
      <c r="IV5" s="10">
        <v>551</v>
      </c>
      <c r="IW5" s="10">
        <v>551</v>
      </c>
      <c r="IX5" s="10">
        <v>551</v>
      </c>
      <c r="IY5" s="10">
        <v>551</v>
      </c>
      <c r="IZ5" s="10">
        <v>578</v>
      </c>
      <c r="JA5" s="10">
        <v>766</v>
      </c>
      <c r="JB5" s="10">
        <v>837</v>
      </c>
      <c r="JC5" s="10">
        <v>858</v>
      </c>
      <c r="JD5" s="10">
        <v>1030</v>
      </c>
      <c r="JE5" s="10">
        <v>1117</v>
      </c>
      <c r="JF5" s="10">
        <v>1049</v>
      </c>
      <c r="JG5" s="10">
        <v>1051</v>
      </c>
      <c r="JH5" s="10">
        <v>1075</v>
      </c>
      <c r="JI5" s="10">
        <v>1071</v>
      </c>
      <c r="JJ5" s="10">
        <v>1115</v>
      </c>
      <c r="JK5" s="10">
        <v>1104</v>
      </c>
      <c r="JL5" s="10">
        <v>1106</v>
      </c>
      <c r="JM5" s="10">
        <v>1101</v>
      </c>
      <c r="JN5" s="10">
        <v>1132</v>
      </c>
      <c r="JO5" s="10">
        <v>1207</v>
      </c>
      <c r="JP5" s="10">
        <v>1240</v>
      </c>
      <c r="JQ5" s="10">
        <v>1240</v>
      </c>
      <c r="JR5" s="10">
        <v>1236</v>
      </c>
      <c r="JS5" s="10">
        <v>1241</v>
      </c>
      <c r="JT5" s="10">
        <v>1277</v>
      </c>
      <c r="JU5" s="10">
        <v>1332</v>
      </c>
      <c r="JV5" s="10">
        <v>1473</v>
      </c>
      <c r="JW5" s="102">
        <v>1478</v>
      </c>
      <c r="JX5" s="475"/>
      <c r="JY5" s="24" t="s">
        <v>52</v>
      </c>
      <c r="JZ5" s="6" t="s">
        <v>47</v>
      </c>
      <c r="KA5" s="15"/>
      <c r="KB5" s="6" t="s">
        <v>52</v>
      </c>
      <c r="KC5" s="10">
        <v>1484</v>
      </c>
      <c r="KD5" s="10">
        <v>1137</v>
      </c>
      <c r="KE5" s="10">
        <v>714</v>
      </c>
      <c r="KF5" s="10">
        <v>794</v>
      </c>
      <c r="KG5" s="10">
        <v>733</v>
      </c>
      <c r="KH5" s="10">
        <v>644</v>
      </c>
      <c r="KI5" s="10">
        <v>617</v>
      </c>
      <c r="KJ5" s="10">
        <v>623</v>
      </c>
      <c r="KK5" s="122"/>
      <c r="KL5" s="109" t="s">
        <v>118</v>
      </c>
      <c r="KM5" s="10">
        <f>2523-12.6</f>
        <v>2510.4</v>
      </c>
      <c r="KN5" s="10">
        <f>2681-12.6</f>
        <v>2668.4</v>
      </c>
      <c r="KO5" s="10">
        <f>2664-12.6</f>
        <v>2651.4</v>
      </c>
      <c r="KP5" s="10">
        <f>2657-12.6</f>
        <v>2644.4</v>
      </c>
      <c r="KQ5" s="10">
        <f>2657-12.6</f>
        <v>2644.4</v>
      </c>
      <c r="KR5" s="10">
        <f>2765-12.6</f>
        <v>2752.4</v>
      </c>
      <c r="KS5" s="10">
        <f>2927-12.6</f>
        <v>2914.4</v>
      </c>
      <c r="KT5" s="10">
        <f>3081-12.6</f>
        <v>3068.4</v>
      </c>
      <c r="KU5" s="10">
        <f>2943-12.6</f>
        <v>2930.4</v>
      </c>
      <c r="KV5" s="10">
        <f>3077-12.6</f>
        <v>3064.4</v>
      </c>
      <c r="KW5" s="10">
        <f>3230-12.6</f>
        <v>3217.4</v>
      </c>
      <c r="KX5" s="10">
        <f>3458-12.6</f>
        <v>3445.4</v>
      </c>
      <c r="KY5" s="10">
        <f>3169-12.6</f>
        <v>3156.4</v>
      </c>
      <c r="KZ5" s="10">
        <f>3140-12.6</f>
        <v>3127.4</v>
      </c>
      <c r="LA5" s="10">
        <f>3140-12.6</f>
        <v>3127.4</v>
      </c>
      <c r="LB5" s="10">
        <f>3511-12.6</f>
        <v>3498.4</v>
      </c>
      <c r="LC5" s="10">
        <f>3355-12.6</f>
        <v>3342.4</v>
      </c>
      <c r="LD5" s="10">
        <f>3257-12.6</f>
        <v>3244.4</v>
      </c>
      <c r="LE5" s="10">
        <f>3212-12.6</f>
        <v>3199.4</v>
      </c>
      <c r="LF5" s="10">
        <f>3387-12.6</f>
        <v>3374.4</v>
      </c>
      <c r="LG5" s="10">
        <f>3763</f>
        <v>3763</v>
      </c>
      <c r="LH5" s="10">
        <f>3669</f>
        <v>3669</v>
      </c>
      <c r="LI5" s="10">
        <f>3380</f>
        <v>3380</v>
      </c>
      <c r="LJ5" s="10">
        <f>3375</f>
        <v>3375</v>
      </c>
      <c r="LK5" s="10">
        <f>3681</f>
        <v>3681</v>
      </c>
      <c r="LL5" s="10">
        <f>3737</f>
        <v>3737</v>
      </c>
      <c r="LM5" s="10">
        <f>3621</f>
        <v>3621</v>
      </c>
      <c r="LN5" s="10">
        <f>3282-88.3</f>
        <v>3193.7</v>
      </c>
      <c r="LO5" s="10">
        <f>3363-88.3</f>
        <v>3274.7</v>
      </c>
      <c r="LP5" s="10">
        <f>3670-88.3</f>
        <v>3581.7</v>
      </c>
      <c r="LQ5" s="10">
        <f>3687-88.3</f>
        <v>3598.7</v>
      </c>
      <c r="LR5" s="10">
        <f>3509-88.3</f>
        <v>3420.7</v>
      </c>
      <c r="LS5" s="10">
        <f>3154-88.3</f>
        <v>3065.7</v>
      </c>
      <c r="LT5" s="10">
        <f>3149-87.96</f>
        <v>3061.04</v>
      </c>
      <c r="LU5" s="10">
        <f>3438-87.6</f>
        <v>3350.4</v>
      </c>
      <c r="LV5" s="10">
        <f>3017-87.6</f>
        <v>2929.4</v>
      </c>
      <c r="LW5" s="10">
        <f>3017-87.6</f>
        <v>2929.4</v>
      </c>
      <c r="LX5" s="10">
        <f>3240-87.6</f>
        <v>3152.4</v>
      </c>
      <c r="LY5" s="10">
        <f>3433-87.6</f>
        <v>3345.4</v>
      </c>
      <c r="LZ5" s="10">
        <f>3193-87.6</f>
        <v>3105.4</v>
      </c>
      <c r="MA5" s="10">
        <f>3262-84.86</f>
        <v>3177.14</v>
      </c>
      <c r="MB5" s="10">
        <f>3326-83.6</f>
        <v>3242.4</v>
      </c>
      <c r="MC5" s="10">
        <f>3171-83.6</f>
        <v>3087.4</v>
      </c>
      <c r="MD5" s="10">
        <f>2751-83.6</f>
        <v>2667.4</v>
      </c>
      <c r="ME5" s="10">
        <f>2751-83.6</f>
        <v>2667.4</v>
      </c>
      <c r="MF5" s="10">
        <f>3039-83.6</f>
        <v>2955.4</v>
      </c>
      <c r="MG5" s="10">
        <f>2900-83.6</f>
        <v>2816.4</v>
      </c>
      <c r="MH5" s="10">
        <f>2766-83.6</f>
        <v>2682.4</v>
      </c>
      <c r="MI5" s="10">
        <f>2571-83.6</f>
        <v>2487.4</v>
      </c>
      <c r="MJ5" s="10">
        <f>2571-77.79</f>
        <v>2493.21</v>
      </c>
      <c r="MK5" s="10">
        <f>2687-75.53</f>
        <v>2611.4699999999998</v>
      </c>
      <c r="ML5" s="10">
        <f>2845-75.35</f>
        <v>2769.65</v>
      </c>
      <c r="MM5" s="10">
        <f>2643-75.35</f>
        <v>2567.65</v>
      </c>
      <c r="MN5" s="10">
        <f>2841-74.65</f>
        <v>2766.35</v>
      </c>
      <c r="MO5" s="10">
        <f>2544-74.65</f>
        <v>2469.35</v>
      </c>
      <c r="MP5" s="10">
        <f>2612-74.65</f>
        <v>2537.35</v>
      </c>
      <c r="MQ5" s="10">
        <f>2704-74.65</f>
        <v>2629.35</v>
      </c>
      <c r="MR5" s="10">
        <f>2704-63.5</f>
        <v>2640.5</v>
      </c>
      <c r="MS5" s="10">
        <f>2936-58.55</f>
        <v>2877.45</v>
      </c>
      <c r="MT5" s="10">
        <f>2927-58.55</f>
        <v>2868.45</v>
      </c>
      <c r="MU5" s="10">
        <f>2827-54.7</f>
        <v>2772.3</v>
      </c>
      <c r="MV5" s="10">
        <f>2571-54.7</f>
        <v>2516.3000000000002</v>
      </c>
      <c r="MW5" s="10">
        <f>2714-54.7</f>
        <v>2659.3</v>
      </c>
      <c r="MX5" s="10">
        <f>2737-54.7</f>
        <v>2682.3</v>
      </c>
      <c r="MY5" s="10">
        <f>3022-54.7</f>
        <v>2967.3</v>
      </c>
      <c r="MZ5" s="10">
        <f>3107-132.59</f>
        <v>2974.41</v>
      </c>
      <c r="NA5" s="10">
        <f>3206-131.15</f>
        <v>3074.85</v>
      </c>
      <c r="NB5" s="10">
        <f>3558-131.15</f>
        <v>3426.85</v>
      </c>
      <c r="NC5" s="10">
        <f>3537-131.15</f>
        <v>3405.85</v>
      </c>
      <c r="ND5" s="10">
        <f>3506-131.15</f>
        <v>3374.85</v>
      </c>
      <c r="NE5" s="10">
        <f>3219-124.85</f>
        <v>3094.15</v>
      </c>
      <c r="NF5" s="10">
        <f>3877-124.01</f>
        <v>3752.99</v>
      </c>
      <c r="NG5" s="10">
        <f>3969-122.75</f>
        <v>3846.25</v>
      </c>
      <c r="NH5" s="10">
        <f>3851-122.75</f>
        <v>3728.25</v>
      </c>
      <c r="NI5" s="10">
        <f>3557-122.75</f>
        <v>3434.25</v>
      </c>
      <c r="NJ5" s="10">
        <f>3796-104.65</f>
        <v>3691.35</v>
      </c>
      <c r="NK5" s="10">
        <f>4102-103.75</f>
        <v>3998.25</v>
      </c>
      <c r="NL5" s="10">
        <f>4201-103.75</f>
        <v>4097.25</v>
      </c>
      <c r="NM5" s="10">
        <f>4264-99.9</f>
        <v>4164.1000000000004</v>
      </c>
      <c r="NN5" s="10">
        <f>3740-93.55</f>
        <v>3646.45</v>
      </c>
      <c r="NO5" s="10">
        <f>3794-93.55</f>
        <v>3700.45</v>
      </c>
      <c r="NP5" s="10">
        <f>4134-89.72</f>
        <v>4044.28</v>
      </c>
      <c r="NQ5" s="10">
        <f>4173-89</f>
        <v>4084</v>
      </c>
      <c r="NR5" s="10">
        <f>4153-89</f>
        <v>4064</v>
      </c>
      <c r="NS5" s="10">
        <f>3733-88.68</f>
        <v>3644.32</v>
      </c>
      <c r="NT5" s="10">
        <f>3733-88.65</f>
        <v>3644.35</v>
      </c>
      <c r="NU5" s="10">
        <f>3907-88.65</f>
        <v>3818.35</v>
      </c>
      <c r="NV5" s="10">
        <f>4050-82.97</f>
        <v>3967.03</v>
      </c>
      <c r="NW5" s="10">
        <f>4147-81.35</f>
        <v>4065.65</v>
      </c>
      <c r="NX5" s="10">
        <f>3888-81.35</f>
        <v>3806.65</v>
      </c>
      <c r="NY5" s="10">
        <f>3888-81.35</f>
        <v>3806.65</v>
      </c>
      <c r="NZ5" s="10">
        <f>4026-81.35</f>
        <v>3944.65</v>
      </c>
      <c r="OA5" s="10">
        <f>4081-81.35</f>
        <v>3999.65</v>
      </c>
      <c r="OB5" s="10">
        <f>3695-79.25</f>
        <v>3615.75</v>
      </c>
      <c r="OC5" s="10">
        <f>3793-79.25</f>
        <v>3713.75</v>
      </c>
      <c r="OD5" s="10">
        <f>4008-79.25</f>
        <v>3928.75</v>
      </c>
      <c r="OE5" s="10">
        <f>4121-79.25</f>
        <v>4041.75</v>
      </c>
      <c r="OF5" s="10">
        <f>4323-79.25</f>
        <v>4243.75</v>
      </c>
      <c r="OG5" s="10">
        <f>4292-79.25</f>
        <v>4212.75</v>
      </c>
      <c r="OH5" s="10">
        <f>4292-77.42</f>
        <v>4214.58</v>
      </c>
      <c r="OI5" s="10">
        <f>4533-76.7</f>
        <v>4456.3</v>
      </c>
      <c r="OJ5" s="10">
        <f>4604-76.7</f>
        <v>4527.3</v>
      </c>
      <c r="OK5" s="10">
        <f>4767-76.71</f>
        <v>4690.29</v>
      </c>
      <c r="OL5" s="10">
        <f>4777-70.77</f>
        <v>4706.2299999999996</v>
      </c>
      <c r="OM5" s="10">
        <f>4704-70.05</f>
        <v>4633.95</v>
      </c>
      <c r="ON5" s="10">
        <f>4397-70.05</f>
        <v>4326.95</v>
      </c>
      <c r="OO5" s="10">
        <f>4397-70.05</f>
        <v>4326.95</v>
      </c>
      <c r="OP5" s="10">
        <f>4559.72-70.05</f>
        <v>4489.67</v>
      </c>
      <c r="OQ5" s="10">
        <f>4451.16-70.05</f>
        <v>4381.1099999999997</v>
      </c>
      <c r="OR5" s="10">
        <f>4337.6-70.05</f>
        <v>4267.55</v>
      </c>
      <c r="OS5" s="10">
        <f>4454.74-70.05</f>
        <v>4384.6899999999996</v>
      </c>
      <c r="OT5" s="10">
        <f>4229.53-70.05</f>
        <v>4159.4799999999996</v>
      </c>
      <c r="OU5" s="10">
        <f>4082.03-79.462</f>
        <v>4002.5680000000002</v>
      </c>
      <c r="OV5" s="10">
        <f>4165.92-68.459</f>
        <v>4097.4610000000002</v>
      </c>
      <c r="OW5" s="10">
        <f>4451.841</f>
        <v>4451.8410000000003</v>
      </c>
      <c r="OX5" s="10">
        <f>4997.981</f>
        <v>4997.9809999999998</v>
      </c>
      <c r="OY5" s="10">
        <f>4971.701</f>
        <v>4971.701</v>
      </c>
      <c r="OZ5" s="10">
        <f>5219.181</f>
        <v>5219.1809999999996</v>
      </c>
      <c r="PA5" s="10">
        <f>5286.941</f>
        <v>5286.9409999999998</v>
      </c>
      <c r="PB5" s="10">
        <f>5234.741</f>
        <v>5234.741</v>
      </c>
      <c r="PC5" s="10">
        <f>5170.791</f>
        <v>5170.7910000000002</v>
      </c>
      <c r="PD5" s="10">
        <f>5631.541</f>
        <v>5631.5410000000002</v>
      </c>
      <c r="PE5" s="10">
        <f>6169.571</f>
        <v>6169.5709999999999</v>
      </c>
      <c r="PF5" s="10">
        <f>5989.401</f>
        <v>5989.4009999999998</v>
      </c>
      <c r="PG5" s="10">
        <f>5981.323</f>
        <v>5981.3230000000003</v>
      </c>
      <c r="PH5" s="10">
        <f>5743.123</f>
        <v>5743.1229999999996</v>
      </c>
      <c r="PI5" s="10">
        <f>5816.123</f>
        <v>5816.1229999999996</v>
      </c>
      <c r="PJ5" s="10">
        <f>6118.854</f>
        <v>6118.8540000000003</v>
      </c>
      <c r="PK5" s="10">
        <f>6115.624</f>
        <v>6115.6239999999998</v>
      </c>
      <c r="PL5" s="10">
        <f>6202.476</f>
        <v>6202.4759999999997</v>
      </c>
      <c r="PM5" s="10">
        <f>6460.926</f>
        <v>6460.9260000000004</v>
      </c>
      <c r="PN5" s="10">
        <f>6688.846</f>
        <v>6688.8459999999995</v>
      </c>
      <c r="PO5" s="10">
        <f>6488.957</f>
        <v>6488.9570000000003</v>
      </c>
      <c r="PP5" s="10">
        <f>6752.207</f>
        <v>6752.2070000000003</v>
      </c>
      <c r="PQ5" s="10">
        <f>6994.157</f>
        <v>6994.1570000000002</v>
      </c>
      <c r="PR5" s="10">
        <f>7052.277</f>
        <v>7052.277</v>
      </c>
      <c r="PS5" s="10">
        <f>7397.597</f>
        <v>7397.5969999999998</v>
      </c>
      <c r="PT5" s="10">
        <f>7174.557</f>
        <v>7174.5569999999998</v>
      </c>
      <c r="PU5" s="10">
        <f>7174.557</f>
        <v>7174.5569999999998</v>
      </c>
      <c r="PV5" s="10">
        <f>7283.677</f>
        <v>7283.6769999999997</v>
      </c>
      <c r="PW5" s="10">
        <f>7111.897</f>
        <v>7111.8969999999999</v>
      </c>
      <c r="PX5" s="10">
        <f>6865.847</f>
        <v>6865.8469999999998</v>
      </c>
      <c r="PY5" s="10">
        <f>6865.847</f>
        <v>6865.8469999999998</v>
      </c>
      <c r="PZ5" s="10">
        <f>6933.797</f>
        <v>6933.7969999999996</v>
      </c>
      <c r="QA5" s="10">
        <f>7106.018</f>
        <v>7106.018</v>
      </c>
      <c r="QB5" s="10">
        <f>7111.598</f>
        <v>7111.598</v>
      </c>
      <c r="QC5" s="10">
        <f>6967.368</f>
        <v>6967.3680000000004</v>
      </c>
      <c r="QD5" s="10">
        <f>6966.488</f>
        <v>6966.4880000000003</v>
      </c>
      <c r="QE5" s="10">
        <f>7038.478</f>
        <v>7038.4780000000001</v>
      </c>
      <c r="QF5" s="10">
        <f>7119.878</f>
        <v>7119.8779999999997</v>
      </c>
      <c r="QG5" s="10">
        <f>6865.638</f>
        <v>6865.6379999999999</v>
      </c>
      <c r="QH5" s="10">
        <f>6865.638</f>
        <v>6865.6379999999999</v>
      </c>
      <c r="QI5" s="10">
        <f>7061.528</f>
        <v>7061.5280000000002</v>
      </c>
      <c r="QJ5" s="10">
        <f>6632.698</f>
        <v>6632.6980000000003</v>
      </c>
      <c r="QK5" s="10">
        <f>6789.288</f>
        <v>6789.2879999999996</v>
      </c>
      <c r="QL5" s="10">
        <f>6789.288</f>
        <v>6789.2879999999996</v>
      </c>
      <c r="QM5" s="10">
        <f>7047.938</f>
        <v>7047.9380000000001</v>
      </c>
      <c r="QN5" s="10">
        <f>7126.808</f>
        <v>7126.808</v>
      </c>
      <c r="QO5" s="10">
        <f>7065.608</f>
        <v>7065.6080000000002</v>
      </c>
      <c r="QP5" s="10">
        <f>7577.588</f>
        <v>7577.5879999999997</v>
      </c>
      <c r="QQ5" s="10">
        <f>7577.588</f>
        <v>7577.5879999999997</v>
      </c>
      <c r="QR5" s="10">
        <f>7748.918</f>
        <v>7748.9179999999997</v>
      </c>
      <c r="QS5" s="10">
        <f>7742.448</f>
        <v>7742.4480000000003</v>
      </c>
      <c r="QT5" s="10">
        <f>7646.84</f>
        <v>7646.84</v>
      </c>
      <c r="QU5" s="10">
        <f>7546.65</f>
        <v>7546.65</v>
      </c>
      <c r="QV5" s="10">
        <f>7546.65</f>
        <v>7546.65</v>
      </c>
      <c r="QW5" s="10">
        <f>7631.53</f>
        <v>7631.53</v>
      </c>
      <c r="QX5" s="10">
        <f>7652.29</f>
        <v>7652.29</v>
      </c>
      <c r="QY5" s="10">
        <f>7450.96</f>
        <v>7450.96</v>
      </c>
      <c r="QZ5" s="10">
        <f>7442.04</f>
        <v>7442.04</v>
      </c>
      <c r="RA5" s="10">
        <f>7655.31</f>
        <v>7655.31</v>
      </c>
      <c r="RB5" s="10">
        <f>7659.461</f>
        <v>7659.4610000000002</v>
      </c>
      <c r="RC5" s="10">
        <f>7619.031</f>
        <v>7619.0309999999999</v>
      </c>
      <c r="RD5" s="10">
        <f>7428.191</f>
        <v>7428.1909999999998</v>
      </c>
      <c r="RE5" s="10">
        <f>7405.211</f>
        <v>7405.2110000000002</v>
      </c>
      <c r="RF5" s="10">
        <f>7720.761</f>
        <v>7720.7610000000004</v>
      </c>
      <c r="RG5" s="10">
        <f>7509.301</f>
        <v>7509.3010000000004</v>
      </c>
      <c r="RH5" s="10">
        <f>7441.5682</f>
        <v>7441.5681999999997</v>
      </c>
      <c r="RI5" s="10">
        <f>7271.4702</f>
        <v>7271.4701999999997</v>
      </c>
      <c r="RJ5" s="10">
        <f>8063.5602</f>
        <v>8063.5601999999999</v>
      </c>
      <c r="RK5" s="10">
        <f>8006.7702</f>
        <v>8006.7701999999999</v>
      </c>
      <c r="RL5" s="10">
        <f>8108.2902</f>
        <v>8108.2902000000004</v>
      </c>
      <c r="RM5" s="10">
        <f>8114.9002</f>
        <v>8114.9002</v>
      </c>
      <c r="RN5" s="10">
        <f>7488.5602</f>
        <v>7488.5601999999999</v>
      </c>
      <c r="RO5" s="10">
        <f>7483.9402</f>
        <v>7483.9402</v>
      </c>
      <c r="RP5" s="10">
        <f>7620.7402</f>
        <v>7620.7402000000002</v>
      </c>
      <c r="RQ5" s="10">
        <f>7368.1502</f>
        <v>7368.1502</v>
      </c>
      <c r="RR5" s="10">
        <f>7658.1502</f>
        <v>7658.1502</v>
      </c>
      <c r="RS5" s="10">
        <f>7438.3522</f>
        <v>7438.3522000000003</v>
      </c>
      <c r="RT5" s="10">
        <f>7438.3522</f>
        <v>7438.3522000000003</v>
      </c>
      <c r="RU5" s="10">
        <f>7600.3522</f>
        <v>7600.3522000000003</v>
      </c>
      <c r="RV5" s="10">
        <f>7413.0222</f>
        <v>7413.0222000000003</v>
      </c>
      <c r="RW5" s="10">
        <f>7212.0222</f>
        <v>7212.0222000000003</v>
      </c>
      <c r="RX5" s="10">
        <f>6990.2622</f>
        <v>6990.2622000000001</v>
      </c>
      <c r="RY5" s="10">
        <f>6934.9922</f>
        <v>6934.9921999999997</v>
      </c>
      <c r="RZ5" s="10">
        <f>7003.0922</f>
        <v>7003.0922</v>
      </c>
      <c r="SA5" s="10">
        <f>6908.2422</f>
        <v>6908.2421999999997</v>
      </c>
      <c r="SB5" s="10">
        <f>6901.4422</f>
        <v>6901.4422000000004</v>
      </c>
      <c r="SC5" s="10">
        <f>7429.7322</f>
        <v>7429.7322000000004</v>
      </c>
      <c r="SD5" s="10">
        <f>7429.7322</f>
        <v>7429.7322000000004</v>
      </c>
      <c r="SE5" s="10">
        <f>7723.7822</f>
        <v>7723.7821999999996</v>
      </c>
      <c r="SF5" s="10">
        <f>7723.7822</f>
        <v>7723.7821999999996</v>
      </c>
      <c r="SG5" s="10">
        <f>7819.6522</f>
        <v>7819.6522000000004</v>
      </c>
      <c r="SH5" s="10">
        <v>7593.0821999999998</v>
      </c>
      <c r="SI5" s="10">
        <v>7784.8231999999998</v>
      </c>
      <c r="SJ5" s="10">
        <v>7542.4132</v>
      </c>
      <c r="SK5" s="10">
        <v>7543.8332</v>
      </c>
      <c r="SL5" s="10">
        <v>7417.3532000000005</v>
      </c>
      <c r="SM5" s="10">
        <v>7287.9932000000008</v>
      </c>
      <c r="SN5" s="10">
        <v>6905.4400000000005</v>
      </c>
      <c r="SO5" s="10">
        <v>6905.4432000000006</v>
      </c>
      <c r="SP5" s="10">
        <v>6982.5432000000001</v>
      </c>
      <c r="SQ5" s="10">
        <v>7096.4332000000004</v>
      </c>
      <c r="SR5" s="10">
        <v>7000.7932000000001</v>
      </c>
      <c r="SS5" s="10">
        <v>6730.6451999999999</v>
      </c>
      <c r="ST5" s="10">
        <v>6728.9952000000003</v>
      </c>
      <c r="SU5" s="10">
        <v>6809.0652</v>
      </c>
      <c r="SV5" s="10">
        <v>6927.9252000000006</v>
      </c>
      <c r="SW5" s="10">
        <v>6831.2952000000005</v>
      </c>
      <c r="SX5" s="10">
        <v>6939.4161999999997</v>
      </c>
      <c r="SY5" s="10">
        <v>6939.4161999999997</v>
      </c>
      <c r="SZ5" s="10">
        <v>6995.7961999999998</v>
      </c>
      <c r="TA5" s="10">
        <v>7231.2362000000003</v>
      </c>
      <c r="TB5" s="10">
        <v>7310.2861999999996</v>
      </c>
      <c r="TC5" s="10">
        <v>7607.1032000000005</v>
      </c>
      <c r="TD5" s="10">
        <v>7936.11</v>
      </c>
      <c r="TE5" s="10">
        <v>7973.454999999999</v>
      </c>
      <c r="TF5" s="10">
        <v>8107.1319999999987</v>
      </c>
      <c r="TG5" s="10">
        <v>8095.5250000000005</v>
      </c>
      <c r="TH5" s="10">
        <v>8001.8470000000007</v>
      </c>
      <c r="TI5" s="10">
        <v>8066.8770000000004</v>
      </c>
      <c r="TJ5" s="10">
        <v>7954.2759999999998</v>
      </c>
      <c r="TK5" s="10">
        <v>7950.1289999999999</v>
      </c>
      <c r="TL5" s="10">
        <v>7878.0240000000003</v>
      </c>
      <c r="TM5" s="10">
        <v>7893.3040000000001</v>
      </c>
      <c r="TN5" s="10">
        <v>7995.11</v>
      </c>
      <c r="TO5" s="198">
        <v>8157.4509999999991</v>
      </c>
      <c r="TP5" s="198">
        <v>8039.8289999999997</v>
      </c>
      <c r="TQ5" s="198">
        <v>7648.4859999999999</v>
      </c>
      <c r="TR5" s="198">
        <v>7722.9690000000001</v>
      </c>
      <c r="TS5" s="198">
        <v>7780.3969999999999</v>
      </c>
      <c r="TT5" s="198">
        <v>8177.5649999999996</v>
      </c>
      <c r="TU5" s="198">
        <v>8438.4069999999992</v>
      </c>
      <c r="TV5" s="198">
        <v>8320.9480000000003</v>
      </c>
      <c r="TW5" s="10">
        <v>8392</v>
      </c>
      <c r="TX5" s="10">
        <v>8400.7654999999995</v>
      </c>
      <c r="TY5" s="10">
        <v>8187.0985000000001</v>
      </c>
      <c r="TZ5" s="10">
        <v>8187.0985000000001</v>
      </c>
      <c r="UA5" s="10">
        <v>8187.0985000000001</v>
      </c>
      <c r="UB5" s="10">
        <v>8187.0985000000001</v>
      </c>
      <c r="UC5" s="10"/>
      <c r="UD5" s="10"/>
      <c r="UE5" s="10"/>
      <c r="UF5" s="10">
        <v>8360.6229999999996</v>
      </c>
      <c r="UG5" s="10">
        <v>8230.9920000000002</v>
      </c>
      <c r="UH5" s="10">
        <v>8178.9039999999995</v>
      </c>
      <c r="UI5" s="10">
        <v>8122.5540000000001</v>
      </c>
      <c r="UJ5" s="10">
        <v>7852.7849999999999</v>
      </c>
      <c r="UK5" s="10">
        <v>7991.1760000000004</v>
      </c>
      <c r="UL5" s="10">
        <v>8139.6382999999996</v>
      </c>
      <c r="UM5" s="10">
        <v>7734.1689999999999</v>
      </c>
      <c r="UN5" s="10">
        <v>7912.299</v>
      </c>
      <c r="UO5" s="10">
        <v>7565.2809999999999</v>
      </c>
      <c r="UP5" s="10">
        <v>7652.4679999999998</v>
      </c>
      <c r="UQ5" s="10">
        <v>7542.009</v>
      </c>
      <c r="UR5" s="10">
        <v>7500</v>
      </c>
      <c r="US5" s="10">
        <v>7500</v>
      </c>
      <c r="UU5" s="114" t="s">
        <v>73</v>
      </c>
      <c r="UV5" s="10">
        <f>UX63</f>
        <v>7676.0394999999999</v>
      </c>
      <c r="UW5" s="125">
        <f t="shared" si="0"/>
        <v>1</v>
      </c>
      <c r="UX5" s="126">
        <v>0</v>
      </c>
      <c r="UY5" s="48"/>
      <c r="UZ5" s="10">
        <v>0</v>
      </c>
      <c r="VA5" s="114" t="s">
        <v>73</v>
      </c>
      <c r="VB5" s="8" t="s">
        <v>47</v>
      </c>
      <c r="VC5" s="81">
        <f>'All WH'!AIR8</f>
        <v>7500</v>
      </c>
      <c r="VD5" s="89"/>
      <c r="VE5" t="s">
        <v>130</v>
      </c>
      <c r="VG5" t="s">
        <v>125</v>
      </c>
      <c r="VI5" t="s">
        <v>126</v>
      </c>
      <c r="VM5" t="s">
        <v>120</v>
      </c>
    </row>
    <row r="6" spans="1:603" ht="30" x14ac:dyDescent="0.25">
      <c r="A6" s="6" t="s">
        <v>73</v>
      </c>
      <c r="B6" s="8" t="s">
        <v>55</v>
      </c>
      <c r="C6" s="76"/>
      <c r="D6" s="7">
        <v>60000</v>
      </c>
      <c r="E6" s="7">
        <v>60000</v>
      </c>
      <c r="F6" s="7">
        <v>60000</v>
      </c>
      <c r="G6" s="7">
        <f>F6</f>
        <v>60000</v>
      </c>
      <c r="H6" s="7">
        <f>G6</f>
        <v>60000</v>
      </c>
      <c r="I6" s="7">
        <f>H6</f>
        <v>60000</v>
      </c>
      <c r="J6" s="7">
        <f>I6</f>
        <v>60000</v>
      </c>
      <c r="K6" s="7">
        <f>J6</f>
        <v>60000</v>
      </c>
      <c r="L6" s="7">
        <f>K6</f>
        <v>60000</v>
      </c>
      <c r="M6" s="7">
        <f>L6</f>
        <v>60000</v>
      </c>
      <c r="N6" s="7">
        <f>M6</f>
        <v>60000</v>
      </c>
      <c r="O6" s="7">
        <f>N6</f>
        <v>60000</v>
      </c>
      <c r="P6" s="7">
        <f>O6</f>
        <v>60000</v>
      </c>
      <c r="Q6" s="7">
        <f>P6</f>
        <v>60000</v>
      </c>
      <c r="R6" s="7">
        <f>Q6</f>
        <v>60000</v>
      </c>
      <c r="S6" s="7">
        <f>R6</f>
        <v>60000</v>
      </c>
      <c r="T6" s="7">
        <f>S6</f>
        <v>60000</v>
      </c>
      <c r="U6" s="7">
        <v>60500</v>
      </c>
      <c r="V6" s="7">
        <v>60500</v>
      </c>
      <c r="W6" s="7"/>
      <c r="X6" s="7"/>
      <c r="Y6" s="7">
        <v>60500</v>
      </c>
      <c r="Z6" s="7">
        <v>60500</v>
      </c>
      <c r="AA6" s="7">
        <v>60500</v>
      </c>
      <c r="AB6" s="7">
        <v>60500</v>
      </c>
      <c r="AC6" s="7">
        <v>60500</v>
      </c>
      <c r="AD6" s="7"/>
      <c r="AE6" s="7">
        <v>60500</v>
      </c>
      <c r="AF6" s="7">
        <v>60500</v>
      </c>
      <c r="AG6" s="7">
        <v>61000</v>
      </c>
      <c r="AH6" s="7">
        <v>61000</v>
      </c>
      <c r="AI6" s="7">
        <v>61000</v>
      </c>
      <c r="AJ6" s="7">
        <v>61000</v>
      </c>
      <c r="AK6" s="7">
        <v>61000</v>
      </c>
      <c r="AL6" s="7">
        <v>61000</v>
      </c>
      <c r="AM6" s="7">
        <v>60500</v>
      </c>
      <c r="AN6" s="7">
        <v>60500</v>
      </c>
      <c r="AO6" s="7">
        <v>60500</v>
      </c>
      <c r="AP6" s="7">
        <v>60500</v>
      </c>
      <c r="AQ6" s="7">
        <v>60500</v>
      </c>
      <c r="AR6" s="7">
        <v>60500</v>
      </c>
      <c r="AS6" s="7">
        <v>60500</v>
      </c>
      <c r="AT6" s="7">
        <v>60500</v>
      </c>
      <c r="AU6" s="7">
        <v>60500</v>
      </c>
      <c r="AV6" s="7">
        <v>60500</v>
      </c>
      <c r="AW6" s="7">
        <v>60500</v>
      </c>
      <c r="AX6" s="7">
        <v>60500</v>
      </c>
      <c r="AY6" s="7">
        <v>60500</v>
      </c>
      <c r="AZ6" s="7">
        <v>60500</v>
      </c>
      <c r="BA6" s="7">
        <v>60500</v>
      </c>
      <c r="BB6" s="7">
        <v>60500</v>
      </c>
      <c r="BC6" s="7">
        <v>60500</v>
      </c>
      <c r="BD6" s="7">
        <v>60500</v>
      </c>
      <c r="BE6" s="7">
        <v>60500</v>
      </c>
      <c r="BF6" s="7">
        <v>60500</v>
      </c>
      <c r="BG6" s="7">
        <v>60500</v>
      </c>
      <c r="BH6" s="7">
        <v>60500</v>
      </c>
      <c r="BI6" s="7">
        <v>60500</v>
      </c>
      <c r="BJ6" s="7">
        <v>60500</v>
      </c>
      <c r="BK6" s="7">
        <v>60500</v>
      </c>
      <c r="BL6" s="7">
        <v>60500</v>
      </c>
      <c r="BM6" s="7">
        <v>60500</v>
      </c>
      <c r="BN6" s="7">
        <v>60500</v>
      </c>
      <c r="BO6" s="7">
        <v>60500</v>
      </c>
      <c r="BP6" s="7">
        <v>60500</v>
      </c>
      <c r="BQ6" s="7">
        <v>60500</v>
      </c>
      <c r="BR6" s="7">
        <v>60500</v>
      </c>
      <c r="BS6" s="7">
        <v>60500</v>
      </c>
      <c r="BT6" s="7">
        <v>60500</v>
      </c>
      <c r="BU6" s="7">
        <v>60500</v>
      </c>
      <c r="BV6" s="7">
        <v>60500</v>
      </c>
      <c r="BW6" s="7">
        <v>60500</v>
      </c>
      <c r="BX6" s="7">
        <v>60500</v>
      </c>
      <c r="BY6" s="7">
        <v>60500</v>
      </c>
      <c r="BZ6" s="7">
        <v>60500</v>
      </c>
      <c r="CA6" s="7">
        <v>60500</v>
      </c>
      <c r="CB6" s="7">
        <v>60500</v>
      </c>
      <c r="CC6" s="7">
        <v>60500</v>
      </c>
      <c r="CD6" s="7">
        <v>60500</v>
      </c>
      <c r="CE6" s="7">
        <v>60500</v>
      </c>
      <c r="CF6" s="7">
        <v>60500</v>
      </c>
      <c r="CG6" s="7">
        <v>60500</v>
      </c>
      <c r="CH6" s="7">
        <v>60500</v>
      </c>
      <c r="CI6" s="7">
        <v>60500</v>
      </c>
      <c r="CJ6" s="7">
        <v>60500</v>
      </c>
      <c r="CK6" s="7">
        <v>60500</v>
      </c>
      <c r="CL6" s="7">
        <v>60500</v>
      </c>
      <c r="CM6" s="7">
        <v>60500</v>
      </c>
      <c r="CN6" s="7">
        <v>60500</v>
      </c>
      <c r="CO6" s="7">
        <v>60500</v>
      </c>
      <c r="CP6" s="7">
        <v>60500</v>
      </c>
      <c r="CQ6" s="7">
        <v>60500</v>
      </c>
      <c r="CR6" s="7">
        <v>60500</v>
      </c>
      <c r="CS6" s="7">
        <v>60500</v>
      </c>
      <c r="CT6" s="7">
        <v>60500</v>
      </c>
      <c r="CU6" s="7">
        <v>60500</v>
      </c>
      <c r="CV6" s="7">
        <v>60500</v>
      </c>
      <c r="CW6" s="7">
        <v>60500</v>
      </c>
      <c r="CX6" s="7">
        <v>60500</v>
      </c>
      <c r="CY6" s="7">
        <v>60500</v>
      </c>
      <c r="CZ6" s="7">
        <v>60500</v>
      </c>
      <c r="DA6" s="7">
        <v>60500</v>
      </c>
      <c r="DB6" s="7">
        <v>60500</v>
      </c>
      <c r="DC6" s="7">
        <v>60500</v>
      </c>
      <c r="DD6" s="7">
        <v>60500</v>
      </c>
      <c r="DE6" s="7">
        <v>60500</v>
      </c>
      <c r="DF6" s="7">
        <v>60500</v>
      </c>
      <c r="DG6" s="7">
        <v>60500</v>
      </c>
      <c r="DH6" s="7">
        <v>60500</v>
      </c>
      <c r="DI6" s="7">
        <v>60500</v>
      </c>
      <c r="DJ6" s="7">
        <v>60500</v>
      </c>
      <c r="DK6" s="7">
        <v>60500</v>
      </c>
      <c r="DL6" s="7">
        <v>60500</v>
      </c>
      <c r="DM6" s="7">
        <v>60500</v>
      </c>
      <c r="DN6" s="7">
        <v>60500</v>
      </c>
      <c r="DO6" s="7">
        <v>60500</v>
      </c>
      <c r="DP6" s="7">
        <v>60500</v>
      </c>
      <c r="DQ6" s="7">
        <v>60500</v>
      </c>
      <c r="DR6" s="7">
        <v>60500</v>
      </c>
      <c r="DS6" s="7">
        <v>60500</v>
      </c>
      <c r="DT6" s="7">
        <v>60500</v>
      </c>
      <c r="DU6" s="7">
        <v>60500</v>
      </c>
      <c r="DV6" s="7">
        <v>60500</v>
      </c>
      <c r="DW6" s="7">
        <v>60500</v>
      </c>
      <c r="DX6" s="7">
        <v>60500</v>
      </c>
      <c r="DY6" s="7">
        <v>60500</v>
      </c>
      <c r="DZ6" s="7">
        <v>60500</v>
      </c>
      <c r="EA6" s="7">
        <v>60500</v>
      </c>
      <c r="EB6" s="7">
        <v>60500</v>
      </c>
      <c r="EC6" s="7">
        <v>60500</v>
      </c>
      <c r="ED6" s="7">
        <v>60500</v>
      </c>
      <c r="EE6" s="7">
        <v>60500</v>
      </c>
      <c r="EF6" s="7">
        <v>60500</v>
      </c>
      <c r="EG6" s="7">
        <v>60500</v>
      </c>
      <c r="EH6" s="7">
        <v>60500</v>
      </c>
      <c r="EI6" s="7">
        <v>60500</v>
      </c>
      <c r="EJ6" s="7">
        <v>60500</v>
      </c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26"/>
      <c r="EX6" s="7"/>
      <c r="EY6" s="7"/>
      <c r="EZ6" s="78">
        <v>26386</v>
      </c>
      <c r="FA6" s="78">
        <v>26386</v>
      </c>
      <c r="FB6" s="78">
        <v>26386</v>
      </c>
      <c r="FC6" s="78">
        <v>26386</v>
      </c>
      <c r="FD6" s="78">
        <v>28836</v>
      </c>
      <c r="FE6" s="78">
        <v>28836</v>
      </c>
      <c r="FF6" s="78">
        <v>28836</v>
      </c>
      <c r="FG6" s="78">
        <v>28756</v>
      </c>
      <c r="FH6" s="78">
        <v>28756</v>
      </c>
      <c r="FI6" s="78">
        <v>28756</v>
      </c>
      <c r="FJ6" s="78">
        <v>28756</v>
      </c>
      <c r="FK6" s="78">
        <v>28756</v>
      </c>
      <c r="FL6" s="78">
        <v>30256</v>
      </c>
      <c r="FM6" s="78">
        <v>30256</v>
      </c>
      <c r="FN6" s="78">
        <v>30256</v>
      </c>
      <c r="FO6" s="78">
        <v>30756</v>
      </c>
      <c r="FP6" s="78">
        <v>30256</v>
      </c>
      <c r="FQ6" s="78">
        <v>30256</v>
      </c>
      <c r="FR6" s="78">
        <v>31831</v>
      </c>
      <c r="FS6" s="78">
        <v>31831</v>
      </c>
      <c r="FT6" s="78">
        <v>31831</v>
      </c>
      <c r="FU6" s="78">
        <v>31831</v>
      </c>
      <c r="FV6" s="78">
        <v>31831</v>
      </c>
      <c r="FW6" s="78">
        <v>31831</v>
      </c>
      <c r="FX6" s="78">
        <v>32411</v>
      </c>
      <c r="FY6" s="78">
        <v>32411</v>
      </c>
      <c r="FZ6" s="78">
        <v>32411</v>
      </c>
      <c r="GA6" s="78">
        <v>32411</v>
      </c>
      <c r="GB6" s="78">
        <v>32411</v>
      </c>
      <c r="GC6" s="78">
        <v>32411</v>
      </c>
      <c r="GD6" s="78">
        <v>32411</v>
      </c>
      <c r="GE6" s="78">
        <v>32411</v>
      </c>
      <c r="GF6" s="78">
        <v>32411</v>
      </c>
      <c r="GG6" s="78">
        <v>32411</v>
      </c>
      <c r="GH6" s="78">
        <v>32411</v>
      </c>
      <c r="GI6" s="78">
        <v>32411</v>
      </c>
      <c r="GJ6" s="78">
        <v>32411</v>
      </c>
      <c r="GK6" s="78">
        <v>32411</v>
      </c>
      <c r="GL6" s="78"/>
      <c r="GM6" s="78">
        <v>32411</v>
      </c>
      <c r="GN6" s="78">
        <v>29185</v>
      </c>
      <c r="GO6" s="78">
        <v>29185</v>
      </c>
      <c r="GP6" s="78">
        <v>29185</v>
      </c>
      <c r="GQ6" s="78">
        <f t="shared" ref="GQ6:JE6" si="3">29185-2770</f>
        <v>26415</v>
      </c>
      <c r="GR6" s="78">
        <f t="shared" si="3"/>
        <v>26415</v>
      </c>
      <c r="GS6" s="78">
        <f t="shared" si="3"/>
        <v>26415</v>
      </c>
      <c r="GT6" s="78">
        <f t="shared" si="3"/>
        <v>26415</v>
      </c>
      <c r="GU6" s="78">
        <f t="shared" si="3"/>
        <v>26415</v>
      </c>
      <c r="GV6" s="78">
        <f t="shared" si="3"/>
        <v>26415</v>
      </c>
      <c r="GW6" s="78">
        <f t="shared" si="3"/>
        <v>26415</v>
      </c>
      <c r="GX6" s="78">
        <f t="shared" si="3"/>
        <v>26415</v>
      </c>
      <c r="GY6" s="78">
        <f t="shared" si="3"/>
        <v>26415</v>
      </c>
      <c r="GZ6" s="78">
        <f t="shared" si="3"/>
        <v>26415</v>
      </c>
      <c r="HA6" s="78">
        <f t="shared" si="3"/>
        <v>26415</v>
      </c>
      <c r="HB6" s="78">
        <f t="shared" si="3"/>
        <v>26415</v>
      </c>
      <c r="HC6" s="78">
        <f t="shared" si="3"/>
        <v>26415</v>
      </c>
      <c r="HD6" s="78">
        <f t="shared" si="3"/>
        <v>26415</v>
      </c>
      <c r="HE6" s="78">
        <f t="shared" si="3"/>
        <v>26415</v>
      </c>
      <c r="HF6" s="78">
        <f t="shared" si="3"/>
        <v>26415</v>
      </c>
      <c r="HG6" s="78">
        <f t="shared" si="3"/>
        <v>26415</v>
      </c>
      <c r="HH6" s="78">
        <f t="shared" si="3"/>
        <v>26415</v>
      </c>
      <c r="HI6" s="78">
        <f t="shared" si="3"/>
        <v>26415</v>
      </c>
      <c r="HJ6" s="78">
        <f t="shared" si="3"/>
        <v>26415</v>
      </c>
      <c r="HK6" s="78">
        <f t="shared" si="3"/>
        <v>26415</v>
      </c>
      <c r="HL6" s="78">
        <f t="shared" si="3"/>
        <v>26415</v>
      </c>
      <c r="HM6" s="78">
        <f t="shared" si="3"/>
        <v>26415</v>
      </c>
      <c r="HN6" s="78">
        <f t="shared" si="3"/>
        <v>26415</v>
      </c>
      <c r="HO6" s="78">
        <f t="shared" si="3"/>
        <v>26415</v>
      </c>
      <c r="HP6" s="78">
        <f t="shared" si="3"/>
        <v>26415</v>
      </c>
      <c r="HQ6" s="78">
        <f t="shared" si="3"/>
        <v>26415</v>
      </c>
      <c r="HR6" s="78">
        <f t="shared" si="3"/>
        <v>26415</v>
      </c>
      <c r="HS6" s="78">
        <f t="shared" si="3"/>
        <v>26415</v>
      </c>
      <c r="HT6" s="78">
        <f t="shared" si="3"/>
        <v>26415</v>
      </c>
      <c r="HU6" s="78">
        <f t="shared" si="3"/>
        <v>26415</v>
      </c>
      <c r="HV6" s="78">
        <f t="shared" si="3"/>
        <v>26415</v>
      </c>
      <c r="HW6" s="78">
        <f t="shared" si="3"/>
        <v>26415</v>
      </c>
      <c r="HX6" s="78">
        <f t="shared" si="3"/>
        <v>26415</v>
      </c>
      <c r="HY6" s="78">
        <f t="shared" si="3"/>
        <v>26415</v>
      </c>
      <c r="HZ6" s="78">
        <f t="shared" si="3"/>
        <v>26415</v>
      </c>
      <c r="IA6" s="78">
        <f t="shared" si="3"/>
        <v>26415</v>
      </c>
      <c r="IB6" s="78">
        <f t="shared" si="3"/>
        <v>26415</v>
      </c>
      <c r="IC6" s="78">
        <f t="shared" si="3"/>
        <v>26415</v>
      </c>
      <c r="ID6" s="78">
        <f t="shared" si="3"/>
        <v>26415</v>
      </c>
      <c r="IE6" s="78">
        <f t="shared" si="3"/>
        <v>26415</v>
      </c>
      <c r="IF6" s="78">
        <f t="shared" si="3"/>
        <v>26415</v>
      </c>
      <c r="IG6" s="78">
        <f t="shared" si="3"/>
        <v>26415</v>
      </c>
      <c r="IH6" s="78">
        <f t="shared" si="3"/>
        <v>26415</v>
      </c>
      <c r="II6" s="78">
        <f t="shared" si="3"/>
        <v>26415</v>
      </c>
      <c r="IJ6" s="78">
        <f t="shared" si="3"/>
        <v>26415</v>
      </c>
      <c r="IK6" s="78">
        <f t="shared" si="3"/>
        <v>26415</v>
      </c>
      <c r="IL6" s="78">
        <f t="shared" si="3"/>
        <v>26415</v>
      </c>
      <c r="IM6" s="78">
        <f t="shared" si="3"/>
        <v>26415</v>
      </c>
      <c r="IN6" s="78">
        <f t="shared" si="3"/>
        <v>26415</v>
      </c>
      <c r="IO6" s="78">
        <f t="shared" si="3"/>
        <v>26415</v>
      </c>
      <c r="IP6" s="78">
        <f t="shared" si="3"/>
        <v>26415</v>
      </c>
      <c r="IQ6" s="78">
        <f t="shared" si="3"/>
        <v>26415</v>
      </c>
      <c r="IR6" s="78">
        <f t="shared" si="3"/>
        <v>26415</v>
      </c>
      <c r="IS6" s="78">
        <f t="shared" si="3"/>
        <v>26415</v>
      </c>
      <c r="IT6" s="78">
        <f t="shared" si="3"/>
        <v>26415</v>
      </c>
      <c r="IU6" s="78">
        <f t="shared" si="3"/>
        <v>26415</v>
      </c>
      <c r="IV6" s="78">
        <f t="shared" si="3"/>
        <v>26415</v>
      </c>
      <c r="IW6" s="78">
        <f t="shared" si="3"/>
        <v>26415</v>
      </c>
      <c r="IX6" s="78">
        <f t="shared" si="3"/>
        <v>26415</v>
      </c>
      <c r="IY6" s="78">
        <f t="shared" si="3"/>
        <v>26415</v>
      </c>
      <c r="IZ6" s="78">
        <f t="shared" si="3"/>
        <v>26415</v>
      </c>
      <c r="JA6" s="78">
        <f t="shared" si="3"/>
        <v>26415</v>
      </c>
      <c r="JB6" s="78">
        <f t="shared" si="3"/>
        <v>26415</v>
      </c>
      <c r="JC6" s="78">
        <f t="shared" si="3"/>
        <v>26415</v>
      </c>
      <c r="JD6" s="78">
        <f t="shared" si="3"/>
        <v>26415</v>
      </c>
      <c r="JE6" s="78">
        <f t="shared" si="3"/>
        <v>26415</v>
      </c>
      <c r="JF6" s="78">
        <v>40844</v>
      </c>
      <c r="JG6" s="78">
        <v>40844</v>
      </c>
      <c r="JH6" s="78">
        <v>40844</v>
      </c>
      <c r="JI6" s="78">
        <v>40844</v>
      </c>
      <c r="JJ6" s="78">
        <v>40844</v>
      </c>
      <c r="JK6" s="78">
        <v>40844</v>
      </c>
      <c r="JL6" s="78">
        <v>40844</v>
      </c>
      <c r="JM6" s="78">
        <v>40844</v>
      </c>
      <c r="JN6" s="78">
        <v>40844</v>
      </c>
      <c r="JO6" s="78">
        <v>40844</v>
      </c>
      <c r="JP6" s="78">
        <v>40844</v>
      </c>
      <c r="JQ6" s="78">
        <v>40844</v>
      </c>
      <c r="JR6" s="78">
        <v>40844</v>
      </c>
      <c r="JS6" s="78">
        <v>40844</v>
      </c>
      <c r="JT6" s="78">
        <v>40844</v>
      </c>
      <c r="JU6" s="78">
        <v>40844</v>
      </c>
      <c r="JV6" s="78">
        <v>40844</v>
      </c>
      <c r="JW6" s="104">
        <v>40844</v>
      </c>
      <c r="JX6" s="475"/>
      <c r="JY6" s="107" t="s">
        <v>121</v>
      </c>
      <c r="JZ6" s="85" t="s">
        <v>122</v>
      </c>
      <c r="KA6" s="106"/>
      <c r="KB6" s="109" t="s">
        <v>118</v>
      </c>
      <c r="KC6" s="78">
        <v>1890</v>
      </c>
      <c r="KD6" s="78">
        <f>1903-12</f>
        <v>1891</v>
      </c>
      <c r="KE6" s="78">
        <f>1930-12.6</f>
        <v>1917.4</v>
      </c>
      <c r="KF6" s="78">
        <f>1930-12.6</f>
        <v>1917.4</v>
      </c>
      <c r="KG6" s="78">
        <f>2122-12.6</f>
        <v>2109.4</v>
      </c>
      <c r="KH6" s="78">
        <f>2219-12.6</f>
        <v>2206.4</v>
      </c>
      <c r="KI6" s="78">
        <f>2187-12.6</f>
        <v>2174.4</v>
      </c>
      <c r="KJ6" s="78">
        <f>2289-12.6</f>
        <v>2276.4</v>
      </c>
      <c r="KK6" s="123"/>
      <c r="KL6" s="82" t="s">
        <v>123</v>
      </c>
      <c r="KM6" s="7">
        <v>7191</v>
      </c>
      <c r="KN6" s="7">
        <v>6723</v>
      </c>
      <c r="KO6" s="7">
        <v>6494</v>
      </c>
      <c r="KP6" s="7">
        <v>6675</v>
      </c>
      <c r="KQ6" s="7">
        <v>6861</v>
      </c>
      <c r="KR6" s="7">
        <v>6847</v>
      </c>
      <c r="KS6" s="7">
        <v>6846</v>
      </c>
      <c r="KT6" s="7">
        <v>6846</v>
      </c>
      <c r="KU6" s="7">
        <v>6744</v>
      </c>
      <c r="KV6" s="7">
        <v>6878</v>
      </c>
      <c r="KW6" s="7">
        <v>6835</v>
      </c>
      <c r="KX6" s="7">
        <v>6835</v>
      </c>
      <c r="KY6" s="7">
        <v>6587</v>
      </c>
      <c r="KZ6" s="7">
        <v>6576</v>
      </c>
      <c r="LA6" s="7">
        <v>6576</v>
      </c>
      <c r="LB6" s="7">
        <v>6591</v>
      </c>
      <c r="LC6" s="7">
        <v>6313</v>
      </c>
      <c r="LD6" s="7">
        <v>6615</v>
      </c>
      <c r="LE6" s="7">
        <v>6892</v>
      </c>
      <c r="LF6" s="7">
        <v>6578</v>
      </c>
      <c r="LG6" s="7">
        <v>6400</v>
      </c>
      <c r="LH6" s="7">
        <v>6457</v>
      </c>
      <c r="LI6" s="7">
        <v>6008</v>
      </c>
      <c r="LJ6" s="7">
        <v>6367</v>
      </c>
      <c r="LK6" s="7">
        <v>6376</v>
      </c>
      <c r="LL6" s="7">
        <v>6173</v>
      </c>
      <c r="LM6" s="7">
        <v>5849</v>
      </c>
      <c r="LN6" s="7">
        <v>6499</v>
      </c>
      <c r="LO6" s="7">
        <v>6600</v>
      </c>
      <c r="LP6" s="7">
        <v>6600</v>
      </c>
      <c r="LQ6" s="7">
        <v>6550</v>
      </c>
      <c r="LR6" s="7">
        <v>6507</v>
      </c>
      <c r="LS6" s="7">
        <v>6413</v>
      </c>
      <c r="LT6" s="7">
        <v>6413</v>
      </c>
      <c r="LU6" s="7">
        <v>6908</v>
      </c>
      <c r="LV6" s="7">
        <v>7254</v>
      </c>
      <c r="LW6" s="7">
        <v>7254</v>
      </c>
      <c r="LX6" s="7">
        <v>7432</v>
      </c>
      <c r="LY6" s="7">
        <v>7163</v>
      </c>
      <c r="LZ6" s="7">
        <v>7163</v>
      </c>
      <c r="MA6" s="7">
        <v>7288</v>
      </c>
      <c r="MB6" s="7">
        <v>7288</v>
      </c>
      <c r="MC6" s="7">
        <v>7431</v>
      </c>
      <c r="MD6" s="7">
        <v>7427</v>
      </c>
      <c r="ME6" s="7">
        <v>7207</v>
      </c>
      <c r="MF6" s="7">
        <v>7207</v>
      </c>
      <c r="MG6" s="7">
        <v>7207</v>
      </c>
      <c r="MH6" s="7">
        <v>7514</v>
      </c>
      <c r="MI6" s="7">
        <v>7354</v>
      </c>
      <c r="MJ6" s="7">
        <v>7697</v>
      </c>
      <c r="MK6" s="7">
        <v>7697</v>
      </c>
      <c r="ML6" s="7">
        <v>7506</v>
      </c>
      <c r="MM6" s="7">
        <v>8243</v>
      </c>
      <c r="MN6" s="7">
        <v>8291</v>
      </c>
      <c r="MO6" s="7">
        <v>8019</v>
      </c>
      <c r="MP6" s="7">
        <v>8096</v>
      </c>
      <c r="MQ6" s="7">
        <v>8011</v>
      </c>
      <c r="MR6" s="7">
        <v>8107</v>
      </c>
      <c r="MS6" s="7">
        <v>7874</v>
      </c>
      <c r="MT6" s="7">
        <v>7934</v>
      </c>
      <c r="MU6" s="7">
        <v>8078</v>
      </c>
      <c r="MV6" s="7">
        <v>8090</v>
      </c>
      <c r="MW6" s="7">
        <v>8090</v>
      </c>
      <c r="MX6" s="7">
        <v>7873</v>
      </c>
      <c r="MY6" s="7">
        <v>8021</v>
      </c>
      <c r="MZ6" s="7">
        <v>7777</v>
      </c>
      <c r="NA6" s="7">
        <v>7691</v>
      </c>
      <c r="NB6" s="7">
        <v>7526</v>
      </c>
      <c r="NC6" s="7">
        <v>7284</v>
      </c>
      <c r="ND6" s="7">
        <v>7508</v>
      </c>
      <c r="NE6" s="7">
        <v>7486</v>
      </c>
      <c r="NF6" s="7">
        <v>7483</v>
      </c>
      <c r="NG6" s="7">
        <v>7483</v>
      </c>
      <c r="NH6" s="7">
        <v>7820</v>
      </c>
      <c r="NI6" s="7">
        <v>8106</v>
      </c>
      <c r="NJ6" s="7">
        <v>8111</v>
      </c>
      <c r="NK6" s="7">
        <v>8081</v>
      </c>
      <c r="NL6" s="7">
        <v>7857</v>
      </c>
      <c r="NM6" s="7">
        <v>7657</v>
      </c>
      <c r="NN6" s="7">
        <v>7493</v>
      </c>
      <c r="NO6" s="7">
        <v>7588</v>
      </c>
      <c r="NP6" s="7">
        <v>7588</v>
      </c>
      <c r="NQ6" s="7">
        <v>7396</v>
      </c>
      <c r="NR6" s="7">
        <v>7268</v>
      </c>
      <c r="NS6" s="7">
        <v>7435</v>
      </c>
      <c r="NT6" s="7">
        <v>7538</v>
      </c>
      <c r="NU6" s="7">
        <v>7538</v>
      </c>
      <c r="NV6" s="7">
        <v>7349</v>
      </c>
      <c r="NW6" s="7">
        <v>7341</v>
      </c>
      <c r="NX6" s="7">
        <v>7609</v>
      </c>
      <c r="NY6" s="7">
        <v>7790</v>
      </c>
      <c r="NZ6" s="7">
        <v>7602</v>
      </c>
      <c r="OA6" s="7">
        <v>7602</v>
      </c>
      <c r="OB6" s="7">
        <v>8115</v>
      </c>
      <c r="OC6" s="7">
        <v>8102</v>
      </c>
      <c r="OD6" s="7">
        <v>8156</v>
      </c>
      <c r="OE6" s="7">
        <v>8035</v>
      </c>
      <c r="OF6" s="7">
        <v>7905</v>
      </c>
      <c r="OG6" s="7">
        <v>8118</v>
      </c>
      <c r="OH6" s="7">
        <v>8140</v>
      </c>
      <c r="OI6" s="7">
        <v>8140</v>
      </c>
      <c r="OJ6" s="7">
        <v>8140</v>
      </c>
      <c r="OK6" s="7">
        <v>8273</v>
      </c>
      <c r="OL6" s="7">
        <v>8094</v>
      </c>
      <c r="OM6" s="7">
        <v>8104</v>
      </c>
      <c r="ON6" s="7">
        <v>8114</v>
      </c>
      <c r="OO6" s="7">
        <v>8066</v>
      </c>
      <c r="OP6" s="7">
        <v>8131</v>
      </c>
      <c r="OQ6" s="7">
        <v>8131</v>
      </c>
      <c r="OR6" s="7">
        <v>8397</v>
      </c>
      <c r="OS6" s="7">
        <v>8156</v>
      </c>
      <c r="OT6" s="7">
        <v>8146</v>
      </c>
      <c r="OU6" s="7">
        <v>8077</v>
      </c>
      <c r="OV6" s="7">
        <v>8077</v>
      </c>
      <c r="OW6" s="7">
        <v>8077</v>
      </c>
      <c r="OX6" s="7">
        <v>8077</v>
      </c>
      <c r="OY6" s="7">
        <v>8077</v>
      </c>
      <c r="OZ6" s="7">
        <v>8077</v>
      </c>
      <c r="PA6" s="7">
        <v>8077</v>
      </c>
      <c r="PB6" s="7">
        <v>8077</v>
      </c>
      <c r="PC6" s="7">
        <v>8077</v>
      </c>
      <c r="PD6" s="7">
        <v>8077</v>
      </c>
      <c r="PE6" s="7">
        <v>8077</v>
      </c>
      <c r="PF6" s="7">
        <v>8077</v>
      </c>
      <c r="PG6" s="7">
        <v>8077</v>
      </c>
      <c r="PH6" s="7">
        <v>8077</v>
      </c>
      <c r="PI6" s="7">
        <v>8077</v>
      </c>
      <c r="PJ6" s="7">
        <v>8077</v>
      </c>
      <c r="PK6" s="7">
        <v>8077</v>
      </c>
      <c r="PL6" s="7">
        <v>8077</v>
      </c>
      <c r="PM6" s="7">
        <v>8077</v>
      </c>
      <c r="PN6" s="7">
        <v>8077</v>
      </c>
      <c r="PO6" s="7">
        <v>8077</v>
      </c>
      <c r="PP6" s="7">
        <v>8077</v>
      </c>
      <c r="PQ6" s="7">
        <v>8077</v>
      </c>
      <c r="PR6" s="7">
        <v>8077</v>
      </c>
      <c r="PS6" s="7">
        <v>8077</v>
      </c>
      <c r="PT6" s="7">
        <v>8077</v>
      </c>
      <c r="PU6" s="7">
        <v>8077</v>
      </c>
      <c r="PV6" s="7">
        <v>8077</v>
      </c>
      <c r="PW6" s="7">
        <v>8077</v>
      </c>
      <c r="PX6" s="7">
        <v>8077</v>
      </c>
      <c r="PY6" s="7">
        <v>8077</v>
      </c>
      <c r="PZ6" s="7">
        <v>8077</v>
      </c>
      <c r="QA6" s="7">
        <v>8077</v>
      </c>
      <c r="QB6" s="7">
        <v>8077</v>
      </c>
      <c r="QC6" s="7">
        <v>8077</v>
      </c>
      <c r="QD6" s="7">
        <v>8077</v>
      </c>
      <c r="QE6" s="7">
        <v>8077</v>
      </c>
      <c r="QF6" s="7">
        <v>8077</v>
      </c>
      <c r="QG6" s="7">
        <v>8077</v>
      </c>
      <c r="QH6" s="7">
        <v>8077</v>
      </c>
      <c r="QI6" s="7">
        <v>8077</v>
      </c>
      <c r="QJ6" s="7">
        <v>8077</v>
      </c>
      <c r="QK6" s="7">
        <v>8077</v>
      </c>
      <c r="QL6" s="7">
        <v>8077</v>
      </c>
      <c r="QM6" s="7">
        <v>8077</v>
      </c>
      <c r="QN6" s="7">
        <v>8077</v>
      </c>
      <c r="QO6" s="7">
        <v>8077</v>
      </c>
      <c r="QP6" s="7">
        <v>8077</v>
      </c>
      <c r="QQ6" s="7">
        <v>8077</v>
      </c>
      <c r="QR6" s="7">
        <v>8077</v>
      </c>
      <c r="QS6" s="7">
        <v>8077</v>
      </c>
      <c r="QT6" s="7">
        <v>8077</v>
      </c>
      <c r="QU6" s="7">
        <v>8077</v>
      </c>
      <c r="QV6" s="7">
        <v>8077</v>
      </c>
      <c r="QW6" s="7">
        <v>8077</v>
      </c>
      <c r="QX6" s="7">
        <v>8077</v>
      </c>
      <c r="QY6" s="7">
        <v>8077</v>
      </c>
      <c r="QZ6" s="7">
        <v>8077</v>
      </c>
      <c r="RA6" s="7">
        <v>8077</v>
      </c>
      <c r="RB6" s="7">
        <v>8077</v>
      </c>
      <c r="RC6" s="7">
        <v>8077</v>
      </c>
      <c r="RD6" s="7">
        <v>8077</v>
      </c>
      <c r="RE6" s="7">
        <v>8077</v>
      </c>
      <c r="RF6" s="7">
        <v>8077</v>
      </c>
      <c r="RG6" s="7">
        <v>8077</v>
      </c>
      <c r="RH6" s="7">
        <v>8077</v>
      </c>
      <c r="RI6" s="7">
        <v>8077</v>
      </c>
      <c r="RJ6" s="7">
        <v>8077</v>
      </c>
      <c r="RK6" s="7">
        <v>8077</v>
      </c>
      <c r="RL6" s="7">
        <v>8077</v>
      </c>
      <c r="RM6" s="7">
        <v>8077</v>
      </c>
      <c r="RN6" s="7">
        <v>8077</v>
      </c>
      <c r="RO6" s="7">
        <v>8077</v>
      </c>
      <c r="RP6" s="7">
        <v>8077</v>
      </c>
      <c r="RQ6" s="7">
        <v>8077</v>
      </c>
      <c r="RR6" s="7">
        <v>8077</v>
      </c>
      <c r="RS6" s="7">
        <v>8077</v>
      </c>
      <c r="RT6" s="7">
        <v>8077</v>
      </c>
      <c r="RU6" s="7">
        <v>8077</v>
      </c>
      <c r="RV6" s="7">
        <v>8077</v>
      </c>
      <c r="RW6" s="7">
        <v>8077</v>
      </c>
      <c r="RX6" s="7">
        <v>8077</v>
      </c>
      <c r="RY6" s="7">
        <v>8077</v>
      </c>
      <c r="RZ6" s="7">
        <v>8077</v>
      </c>
      <c r="SA6" s="7">
        <v>8077</v>
      </c>
      <c r="SB6" s="7">
        <v>8077</v>
      </c>
      <c r="SC6" s="7">
        <v>8077</v>
      </c>
      <c r="SD6" s="7">
        <v>8077</v>
      </c>
      <c r="SE6" s="7">
        <v>8077</v>
      </c>
      <c r="SF6" s="7">
        <v>8077</v>
      </c>
      <c r="SG6" s="7">
        <v>8077</v>
      </c>
      <c r="SH6" s="7">
        <v>8077</v>
      </c>
      <c r="SI6" s="7">
        <v>8077</v>
      </c>
      <c r="SJ6" s="7">
        <v>8077</v>
      </c>
      <c r="SK6" s="7">
        <v>8077</v>
      </c>
      <c r="SL6" s="7">
        <v>8077</v>
      </c>
      <c r="SM6" s="10">
        <v>8077</v>
      </c>
      <c r="SN6" s="10">
        <v>8077</v>
      </c>
      <c r="SO6" s="10">
        <v>8077</v>
      </c>
      <c r="SP6" s="10">
        <v>8077</v>
      </c>
      <c r="SQ6" s="10">
        <v>8077</v>
      </c>
      <c r="SR6" s="10">
        <v>8077</v>
      </c>
      <c r="SS6" s="10">
        <v>8077</v>
      </c>
      <c r="ST6" s="10">
        <v>8077</v>
      </c>
      <c r="SU6" s="10">
        <v>8077</v>
      </c>
      <c r="SV6" s="10">
        <v>8077</v>
      </c>
      <c r="SW6" s="10">
        <v>8077</v>
      </c>
      <c r="SX6" s="10">
        <v>8420</v>
      </c>
      <c r="SY6" s="10">
        <v>8231</v>
      </c>
      <c r="SZ6" s="10">
        <v>8469</v>
      </c>
      <c r="TA6" s="10">
        <v>8315</v>
      </c>
      <c r="TB6" s="10">
        <v>8211</v>
      </c>
      <c r="TC6" s="10">
        <v>8911</v>
      </c>
      <c r="TD6" s="10">
        <v>8526</v>
      </c>
      <c r="TE6" s="10">
        <v>8869</v>
      </c>
      <c r="TF6" s="10">
        <v>8860</v>
      </c>
      <c r="TG6" s="10">
        <v>9678</v>
      </c>
      <c r="TH6" s="10">
        <v>9165</v>
      </c>
      <c r="TI6" s="10">
        <v>9076</v>
      </c>
      <c r="TJ6" s="10">
        <v>9136</v>
      </c>
      <c r="TK6" s="10">
        <v>8982</v>
      </c>
      <c r="TL6" s="10">
        <v>9196</v>
      </c>
      <c r="TM6" s="10">
        <v>9222</v>
      </c>
      <c r="TN6" s="10">
        <v>9382</v>
      </c>
      <c r="TO6" s="198">
        <v>9663</v>
      </c>
      <c r="TP6" s="198">
        <v>9730</v>
      </c>
      <c r="TQ6" s="198">
        <v>10283</v>
      </c>
      <c r="TR6" s="198">
        <v>10178</v>
      </c>
      <c r="TS6" s="198">
        <v>10072</v>
      </c>
      <c r="TT6" s="198">
        <v>10009</v>
      </c>
      <c r="TU6" s="198">
        <v>10111</v>
      </c>
      <c r="TV6" s="198">
        <v>10111</v>
      </c>
      <c r="TW6" s="10">
        <v>9954</v>
      </c>
      <c r="TX6" s="10">
        <v>9835</v>
      </c>
      <c r="TY6" s="10">
        <v>10153</v>
      </c>
      <c r="TZ6" s="10">
        <v>9925</v>
      </c>
      <c r="UA6" s="10">
        <v>9883</v>
      </c>
      <c r="UB6" s="10">
        <v>9883</v>
      </c>
      <c r="UC6" s="10"/>
      <c r="UD6" s="10"/>
      <c r="UE6" s="10"/>
      <c r="UF6" s="10">
        <v>9316</v>
      </c>
      <c r="UG6" s="10">
        <v>9086</v>
      </c>
      <c r="UH6" s="10">
        <v>9019</v>
      </c>
      <c r="UI6" s="10">
        <v>9186</v>
      </c>
      <c r="UJ6" s="10">
        <v>9265</v>
      </c>
      <c r="UK6" s="10">
        <v>9397</v>
      </c>
      <c r="UL6" s="10">
        <v>9189</v>
      </c>
      <c r="UM6" s="10">
        <v>9130</v>
      </c>
      <c r="UN6" s="10">
        <v>9156</v>
      </c>
      <c r="UO6" s="10">
        <v>9093</v>
      </c>
      <c r="UP6" s="10">
        <v>9322</v>
      </c>
      <c r="UQ6" s="10">
        <v>9104</v>
      </c>
      <c r="UR6" s="10">
        <v>8937</v>
      </c>
      <c r="US6" s="10">
        <v>8937</v>
      </c>
      <c r="UU6" s="110" t="s">
        <v>123</v>
      </c>
      <c r="UV6" s="10">
        <f>UW73</f>
        <v>9169</v>
      </c>
      <c r="UW6" s="125">
        <f t="shared" si="0"/>
        <v>0.90504392458789851</v>
      </c>
      <c r="UX6" s="7"/>
      <c r="UY6" s="10"/>
      <c r="UZ6" s="7"/>
      <c r="VA6" s="82" t="s">
        <v>131</v>
      </c>
      <c r="VB6" s="7" t="s">
        <v>132</v>
      </c>
      <c r="VC6" s="78">
        <f>'All WH'!AIR9</f>
        <v>10131</v>
      </c>
      <c r="VD6" s="7"/>
      <c r="VE6" t="s">
        <v>133</v>
      </c>
      <c r="VI6"/>
    </row>
    <row r="7" spans="1:603" ht="30" x14ac:dyDescent="0.25">
      <c r="A7" s="6"/>
      <c r="B7" s="8"/>
      <c r="C7" s="76"/>
      <c r="EX7" s="7"/>
      <c r="EY7" s="7"/>
      <c r="EZ7" s="78"/>
      <c r="FA7" s="78"/>
      <c r="FB7" s="78"/>
      <c r="FC7" s="78"/>
      <c r="FD7" s="78"/>
      <c r="FE7" s="78"/>
      <c r="FF7" s="78"/>
      <c r="FG7" s="78"/>
      <c r="FH7" s="78"/>
      <c r="FI7" s="78"/>
      <c r="FJ7" s="78"/>
      <c r="FK7" s="78"/>
      <c r="FL7" s="78"/>
      <c r="FM7" s="78"/>
      <c r="FN7" s="78"/>
      <c r="FO7" s="78"/>
      <c r="FP7" s="78"/>
      <c r="FQ7" s="78"/>
      <c r="FR7" s="78"/>
      <c r="FS7" s="78"/>
      <c r="FT7" s="78"/>
      <c r="FU7" s="78"/>
      <c r="FV7" s="78"/>
      <c r="FW7" s="78"/>
      <c r="FX7" s="78"/>
      <c r="FY7" s="78"/>
      <c r="FZ7" s="78"/>
      <c r="GA7" s="78"/>
      <c r="GB7" s="78"/>
      <c r="GC7" s="78"/>
      <c r="GD7" s="78"/>
      <c r="GE7" s="78"/>
      <c r="GF7" s="78"/>
      <c r="GG7" s="78"/>
      <c r="GH7" s="78"/>
      <c r="GI7" s="78"/>
      <c r="GJ7" s="78"/>
      <c r="GK7" s="78"/>
      <c r="GL7" s="78"/>
      <c r="GM7" s="78"/>
      <c r="GN7" s="78">
        <v>215</v>
      </c>
      <c r="GO7" s="78">
        <v>215</v>
      </c>
      <c r="GP7" s="78">
        <v>279</v>
      </c>
      <c r="GQ7" s="78">
        <v>305</v>
      </c>
      <c r="GR7" s="78">
        <v>305</v>
      </c>
      <c r="GS7" s="78">
        <v>359</v>
      </c>
      <c r="GT7" s="78">
        <v>390</v>
      </c>
      <c r="GU7" s="78">
        <v>407</v>
      </c>
      <c r="GV7" s="78">
        <v>412</v>
      </c>
      <c r="GW7" s="78">
        <v>437</v>
      </c>
      <c r="GX7" s="78">
        <v>419</v>
      </c>
      <c r="GY7" s="78">
        <v>379</v>
      </c>
      <c r="GZ7" s="78">
        <v>379</v>
      </c>
      <c r="HA7" s="78">
        <v>315</v>
      </c>
      <c r="HB7" s="78">
        <v>248</v>
      </c>
      <c r="HC7" s="78">
        <v>229</v>
      </c>
      <c r="HD7" s="78">
        <v>247</v>
      </c>
      <c r="HE7" s="78">
        <v>272</v>
      </c>
      <c r="HF7" s="78">
        <v>298</v>
      </c>
      <c r="HG7" s="78">
        <v>301</v>
      </c>
      <c r="HH7" s="78">
        <v>327</v>
      </c>
      <c r="HI7" s="78">
        <v>357</v>
      </c>
      <c r="HJ7" s="78">
        <v>365</v>
      </c>
      <c r="HK7" s="78">
        <v>308</v>
      </c>
      <c r="HL7" s="78">
        <v>341</v>
      </c>
      <c r="HM7" s="78">
        <v>428</v>
      </c>
      <c r="HN7" s="78">
        <v>462</v>
      </c>
      <c r="HO7" s="78">
        <v>412</v>
      </c>
      <c r="HP7" s="78">
        <v>299</v>
      </c>
      <c r="HQ7" s="78">
        <v>318</v>
      </c>
      <c r="HR7" s="78">
        <v>311</v>
      </c>
      <c r="HS7" s="78">
        <v>332</v>
      </c>
      <c r="HT7" s="78">
        <v>336</v>
      </c>
      <c r="HU7" s="78">
        <v>338</v>
      </c>
      <c r="HV7" s="78">
        <v>352</v>
      </c>
      <c r="HW7" s="78">
        <v>329</v>
      </c>
      <c r="HX7" s="78">
        <v>353</v>
      </c>
      <c r="HY7" s="78">
        <v>390</v>
      </c>
      <c r="HZ7" s="78">
        <v>389</v>
      </c>
      <c r="IA7" s="78">
        <v>375</v>
      </c>
      <c r="IB7" s="78">
        <v>400</v>
      </c>
      <c r="IC7" s="78">
        <v>421</v>
      </c>
      <c r="ID7" s="78">
        <v>420</v>
      </c>
      <c r="IE7" s="78">
        <v>443</v>
      </c>
      <c r="IF7" s="78">
        <v>418</v>
      </c>
      <c r="IG7" s="78">
        <v>272</v>
      </c>
      <c r="IH7" s="78">
        <v>211</v>
      </c>
      <c r="II7" s="78">
        <v>237</v>
      </c>
      <c r="IJ7" s="78">
        <v>258</v>
      </c>
      <c r="IK7" s="78">
        <v>274</v>
      </c>
      <c r="IL7" s="78">
        <v>296</v>
      </c>
      <c r="IM7" s="78">
        <v>296</v>
      </c>
      <c r="IN7" s="78">
        <v>350</v>
      </c>
      <c r="IO7" s="78">
        <v>381</v>
      </c>
      <c r="IP7" s="78">
        <v>402</v>
      </c>
      <c r="IQ7" s="78">
        <v>402</v>
      </c>
      <c r="IR7" s="78">
        <v>352</v>
      </c>
      <c r="IS7" s="78">
        <v>352</v>
      </c>
      <c r="IT7" s="78">
        <v>375</v>
      </c>
      <c r="IU7" s="78">
        <v>375</v>
      </c>
      <c r="IV7" s="78">
        <v>375</v>
      </c>
      <c r="IW7" s="78">
        <v>375</v>
      </c>
      <c r="IX7" s="78">
        <v>375</v>
      </c>
      <c r="IY7" s="78">
        <v>375</v>
      </c>
      <c r="IZ7" s="78">
        <v>375</v>
      </c>
      <c r="JA7" s="78">
        <v>304</v>
      </c>
      <c r="JB7" s="78">
        <v>304</v>
      </c>
      <c r="JC7" s="78">
        <v>304</v>
      </c>
      <c r="JD7" s="78">
        <v>165</v>
      </c>
      <c r="JE7" s="78">
        <v>165</v>
      </c>
      <c r="JF7" s="78">
        <v>0</v>
      </c>
      <c r="JG7" s="78">
        <v>0</v>
      </c>
      <c r="JH7" s="78">
        <v>0</v>
      </c>
      <c r="JI7" s="78">
        <v>0</v>
      </c>
      <c r="JJ7" s="78">
        <v>0</v>
      </c>
      <c r="JK7" s="78">
        <v>0</v>
      </c>
      <c r="JL7" s="78">
        <v>0</v>
      </c>
      <c r="JM7" s="78">
        <v>0</v>
      </c>
      <c r="JN7" s="78">
        <v>0</v>
      </c>
      <c r="JO7" s="78">
        <v>0</v>
      </c>
      <c r="JP7" s="78">
        <v>0</v>
      </c>
      <c r="JQ7" s="78">
        <v>0</v>
      </c>
      <c r="JR7" s="78">
        <v>0</v>
      </c>
      <c r="JS7" s="78">
        <v>0</v>
      </c>
      <c r="JT7" s="78">
        <v>0</v>
      </c>
      <c r="JU7" s="78">
        <v>0</v>
      </c>
      <c r="JV7" s="78">
        <v>0</v>
      </c>
      <c r="JW7" s="104">
        <v>0</v>
      </c>
      <c r="JX7" s="475"/>
      <c r="JY7" s="107" t="s">
        <v>127</v>
      </c>
      <c r="JZ7" s="85" t="s">
        <v>47</v>
      </c>
      <c r="KA7" s="106"/>
      <c r="KB7" s="82" t="s">
        <v>123</v>
      </c>
      <c r="KC7" s="7">
        <v>5520</v>
      </c>
      <c r="KD7" s="7">
        <v>5778</v>
      </c>
      <c r="KE7" s="7">
        <v>6335</v>
      </c>
      <c r="KF7" s="7">
        <v>6335</v>
      </c>
      <c r="KG7" s="7">
        <v>6335</v>
      </c>
      <c r="KH7" s="7">
        <v>6335</v>
      </c>
      <c r="KI7" s="7">
        <v>7065</v>
      </c>
      <c r="KJ7" s="7">
        <v>7191</v>
      </c>
      <c r="KL7" s="6" t="s">
        <v>82</v>
      </c>
      <c r="KM7" s="7">
        <v>755</v>
      </c>
      <c r="KN7" s="7">
        <v>756</v>
      </c>
      <c r="KO7" s="7">
        <v>792</v>
      </c>
      <c r="KP7" s="7">
        <v>684</v>
      </c>
      <c r="KQ7" s="7">
        <v>916</v>
      </c>
      <c r="KR7" s="7">
        <v>748</v>
      </c>
      <c r="KS7" s="7">
        <v>786</v>
      </c>
      <c r="KT7" s="7">
        <v>786</v>
      </c>
      <c r="KU7" s="7">
        <v>970</v>
      </c>
      <c r="KV7" s="7">
        <v>834</v>
      </c>
      <c r="KW7" s="7">
        <v>859</v>
      </c>
      <c r="KX7" s="7">
        <v>859</v>
      </c>
      <c r="KY7" s="7">
        <v>871</v>
      </c>
      <c r="KZ7" s="7">
        <v>983</v>
      </c>
      <c r="LA7" s="7">
        <v>983</v>
      </c>
      <c r="LB7" s="7">
        <v>963</v>
      </c>
      <c r="LC7" s="7">
        <v>956</v>
      </c>
      <c r="LD7" s="7">
        <v>963</v>
      </c>
      <c r="LE7" s="7">
        <v>1060</v>
      </c>
      <c r="LF7" s="7">
        <v>1029</v>
      </c>
      <c r="LG7" s="7">
        <v>980</v>
      </c>
      <c r="LH7" s="7">
        <v>875</v>
      </c>
      <c r="LI7" s="7">
        <v>942</v>
      </c>
      <c r="LJ7" s="7">
        <v>953</v>
      </c>
      <c r="LK7" s="7">
        <v>876</v>
      </c>
      <c r="LL7" s="7">
        <v>855</v>
      </c>
      <c r="LM7" s="7">
        <v>754</v>
      </c>
      <c r="LN7" s="7">
        <v>947</v>
      </c>
      <c r="LO7" s="7">
        <v>868</v>
      </c>
      <c r="LP7" s="7">
        <v>868</v>
      </c>
      <c r="LQ7" s="7">
        <v>868</v>
      </c>
      <c r="LR7" s="7">
        <v>907</v>
      </c>
      <c r="LS7" s="7">
        <v>895</v>
      </c>
      <c r="LT7" s="7">
        <v>895</v>
      </c>
      <c r="LU7" s="7">
        <v>884</v>
      </c>
      <c r="LV7" s="7">
        <v>841</v>
      </c>
      <c r="LW7" s="7">
        <v>841</v>
      </c>
      <c r="LX7" s="7">
        <v>841</v>
      </c>
      <c r="LY7" s="7">
        <v>879</v>
      </c>
      <c r="LZ7" s="7">
        <v>879</v>
      </c>
      <c r="MA7" s="7">
        <v>811</v>
      </c>
      <c r="MB7" s="7">
        <v>811</v>
      </c>
      <c r="MC7" s="7">
        <v>685</v>
      </c>
      <c r="MD7" s="7">
        <v>685</v>
      </c>
      <c r="ME7" s="7">
        <v>618</v>
      </c>
      <c r="MF7" s="7">
        <v>618</v>
      </c>
      <c r="MG7" s="7">
        <v>618</v>
      </c>
      <c r="MH7" s="7">
        <v>710</v>
      </c>
      <c r="MI7" s="7">
        <v>685</v>
      </c>
      <c r="MJ7" s="7">
        <v>648</v>
      </c>
      <c r="MK7" s="7">
        <v>648</v>
      </c>
      <c r="ML7" s="7">
        <v>625</v>
      </c>
      <c r="MM7" s="7">
        <v>843</v>
      </c>
      <c r="MN7" s="7">
        <v>849</v>
      </c>
      <c r="MO7" s="7">
        <v>794</v>
      </c>
      <c r="MP7" s="7">
        <v>794</v>
      </c>
      <c r="MQ7" s="7">
        <v>703</v>
      </c>
      <c r="MR7" s="7">
        <v>861</v>
      </c>
      <c r="MS7" s="7">
        <v>825</v>
      </c>
      <c r="MT7" s="7">
        <v>825</v>
      </c>
      <c r="MU7" s="7">
        <v>880</v>
      </c>
      <c r="MV7" s="7">
        <v>844</v>
      </c>
      <c r="MW7" s="7">
        <v>844</v>
      </c>
      <c r="MX7" s="7">
        <v>833</v>
      </c>
      <c r="MY7" s="7">
        <v>464</v>
      </c>
      <c r="MZ7" s="7">
        <v>755</v>
      </c>
      <c r="NA7" s="7">
        <v>778</v>
      </c>
      <c r="NB7" s="7">
        <v>776</v>
      </c>
      <c r="NC7" s="7">
        <v>747</v>
      </c>
      <c r="ND7" s="7">
        <v>726</v>
      </c>
      <c r="NE7" s="7">
        <v>725</v>
      </c>
      <c r="NF7" s="7">
        <v>583</v>
      </c>
      <c r="NG7" s="7">
        <v>583</v>
      </c>
      <c r="NH7" s="7">
        <v>855</v>
      </c>
      <c r="NI7" s="7">
        <v>848</v>
      </c>
      <c r="NJ7" s="7">
        <v>821</v>
      </c>
      <c r="NK7" s="7">
        <v>821</v>
      </c>
      <c r="NL7" s="7">
        <v>798</v>
      </c>
      <c r="NM7" s="7">
        <v>882</v>
      </c>
      <c r="NN7" s="7">
        <v>899</v>
      </c>
      <c r="NO7" s="7">
        <v>826</v>
      </c>
      <c r="NP7" s="7">
        <v>826</v>
      </c>
      <c r="NQ7" s="7">
        <v>1001</v>
      </c>
      <c r="NR7" s="7">
        <v>980</v>
      </c>
      <c r="NS7" s="7">
        <v>958</v>
      </c>
      <c r="NT7" s="7">
        <v>949</v>
      </c>
      <c r="NU7" s="7">
        <v>949</v>
      </c>
      <c r="NV7" s="7">
        <v>919</v>
      </c>
      <c r="NW7" s="7">
        <v>875</v>
      </c>
      <c r="NX7" s="7">
        <v>832</v>
      </c>
      <c r="NY7" s="7">
        <v>832</v>
      </c>
      <c r="NZ7" s="7">
        <v>812</v>
      </c>
      <c r="OA7" s="7">
        <v>812</v>
      </c>
      <c r="OB7" s="7">
        <v>890</v>
      </c>
      <c r="OC7" s="7">
        <v>1001</v>
      </c>
      <c r="OD7" s="7">
        <v>1082</v>
      </c>
      <c r="OE7" s="7">
        <v>1171</v>
      </c>
      <c r="OF7" s="7">
        <v>1062</v>
      </c>
      <c r="OG7" s="7">
        <v>911</v>
      </c>
      <c r="OH7" s="7">
        <v>966</v>
      </c>
      <c r="OI7" s="7">
        <v>966</v>
      </c>
      <c r="OJ7" s="7">
        <v>966</v>
      </c>
      <c r="OK7" s="7">
        <v>874</v>
      </c>
      <c r="OL7" s="7">
        <v>874</v>
      </c>
      <c r="OM7" s="7">
        <v>862</v>
      </c>
      <c r="ON7" s="7">
        <v>799</v>
      </c>
      <c r="OO7" s="7">
        <v>779</v>
      </c>
      <c r="OP7" s="7">
        <v>786</v>
      </c>
      <c r="OQ7" s="7">
        <v>786</v>
      </c>
      <c r="OR7" s="7">
        <v>791</v>
      </c>
      <c r="OS7" s="7">
        <v>910</v>
      </c>
      <c r="OT7" s="7">
        <v>910</v>
      </c>
      <c r="OU7" s="7">
        <v>794</v>
      </c>
      <c r="OV7" s="7">
        <v>794</v>
      </c>
      <c r="OW7" s="7">
        <v>794</v>
      </c>
      <c r="OX7" s="7">
        <v>794</v>
      </c>
      <c r="OY7" s="7">
        <v>794</v>
      </c>
      <c r="OZ7" s="7">
        <v>794</v>
      </c>
      <c r="PA7" s="7">
        <v>794</v>
      </c>
      <c r="PB7" s="7">
        <v>794</v>
      </c>
      <c r="PC7" s="7">
        <v>794</v>
      </c>
      <c r="PD7" s="7">
        <v>794</v>
      </c>
      <c r="PE7" s="7">
        <v>794</v>
      </c>
      <c r="PF7" s="7">
        <v>794</v>
      </c>
      <c r="PG7" s="7">
        <v>794</v>
      </c>
      <c r="PH7" s="7">
        <v>794</v>
      </c>
      <c r="PI7" s="7">
        <v>794</v>
      </c>
      <c r="PJ7" s="7">
        <v>794</v>
      </c>
      <c r="PK7" s="7">
        <v>794</v>
      </c>
      <c r="PL7" s="7">
        <v>794</v>
      </c>
      <c r="PM7" s="7">
        <v>794</v>
      </c>
      <c r="PN7" s="7">
        <v>794</v>
      </c>
      <c r="PO7" s="7">
        <v>794</v>
      </c>
      <c r="PP7" s="7">
        <v>794</v>
      </c>
      <c r="PQ7" s="7">
        <v>794</v>
      </c>
      <c r="PR7" s="7">
        <v>794</v>
      </c>
      <c r="PS7" s="7">
        <v>794</v>
      </c>
      <c r="PT7" s="7">
        <v>794</v>
      </c>
      <c r="PU7" s="7">
        <v>794</v>
      </c>
      <c r="PV7" s="7">
        <v>794</v>
      </c>
      <c r="PW7" s="7">
        <v>794</v>
      </c>
      <c r="PX7" s="7">
        <v>794</v>
      </c>
      <c r="PY7" s="7">
        <v>794</v>
      </c>
      <c r="PZ7" s="7">
        <v>794</v>
      </c>
      <c r="QA7" s="7">
        <v>794</v>
      </c>
      <c r="QB7" s="7">
        <v>794</v>
      </c>
      <c r="QC7" s="7">
        <v>794</v>
      </c>
      <c r="QD7" s="7">
        <v>794</v>
      </c>
      <c r="QE7" s="7">
        <v>794</v>
      </c>
      <c r="QF7" s="7">
        <v>794</v>
      </c>
      <c r="QG7" s="7">
        <v>794</v>
      </c>
      <c r="QH7" s="7">
        <v>794</v>
      </c>
      <c r="QI7" s="7">
        <v>794</v>
      </c>
      <c r="QJ7" s="7">
        <v>794</v>
      </c>
      <c r="QK7" s="7">
        <v>794</v>
      </c>
      <c r="QL7" s="7">
        <v>794</v>
      </c>
      <c r="QM7" s="7">
        <v>794</v>
      </c>
      <c r="QN7" s="7">
        <v>794</v>
      </c>
      <c r="QO7" s="7">
        <v>794</v>
      </c>
      <c r="QP7" s="7">
        <v>794</v>
      </c>
      <c r="QQ7" s="7">
        <v>794</v>
      </c>
      <c r="QR7" s="7">
        <v>794</v>
      </c>
      <c r="QS7" s="7">
        <v>794</v>
      </c>
      <c r="QT7" s="7">
        <v>794</v>
      </c>
      <c r="QU7" s="7">
        <v>794</v>
      </c>
      <c r="QV7" s="7">
        <v>794</v>
      </c>
      <c r="QW7" s="7">
        <v>794</v>
      </c>
      <c r="QX7" s="7">
        <v>794</v>
      </c>
      <c r="QY7" s="7">
        <v>794</v>
      </c>
      <c r="QZ7" s="7">
        <v>794</v>
      </c>
      <c r="RA7" s="7">
        <v>794</v>
      </c>
      <c r="RB7" s="7">
        <v>794</v>
      </c>
      <c r="RC7" s="7">
        <v>794</v>
      </c>
      <c r="RD7" s="7">
        <v>794</v>
      </c>
      <c r="RE7" s="7">
        <v>794</v>
      </c>
      <c r="RF7" s="7">
        <v>794</v>
      </c>
      <c r="RG7" s="7">
        <v>794</v>
      </c>
      <c r="RH7" s="7">
        <v>794</v>
      </c>
      <c r="RI7" s="7">
        <v>794</v>
      </c>
      <c r="RJ7" s="7">
        <v>794</v>
      </c>
      <c r="RK7" s="7">
        <v>794</v>
      </c>
      <c r="RL7" s="7">
        <v>794</v>
      </c>
      <c r="RM7" s="7">
        <v>794</v>
      </c>
      <c r="RN7" s="7">
        <v>794</v>
      </c>
      <c r="RO7" s="7">
        <v>794</v>
      </c>
      <c r="RP7" s="7">
        <v>794</v>
      </c>
      <c r="RQ7" s="7">
        <v>794</v>
      </c>
      <c r="RR7" s="7">
        <v>794</v>
      </c>
      <c r="RS7" s="7">
        <v>794</v>
      </c>
      <c r="RT7" s="7">
        <v>794</v>
      </c>
      <c r="RU7" s="7">
        <v>794</v>
      </c>
      <c r="RV7" s="7">
        <v>794</v>
      </c>
      <c r="RW7" s="7">
        <v>794</v>
      </c>
      <c r="RX7" s="7">
        <v>794</v>
      </c>
      <c r="RY7" s="7">
        <v>794</v>
      </c>
      <c r="RZ7" s="7">
        <v>794</v>
      </c>
      <c r="SA7" s="7">
        <v>794</v>
      </c>
      <c r="SB7" s="7">
        <v>794</v>
      </c>
      <c r="SC7" s="7">
        <v>794</v>
      </c>
      <c r="SD7" s="7">
        <v>794</v>
      </c>
      <c r="SE7" s="7">
        <v>794</v>
      </c>
      <c r="SF7" s="7">
        <v>794</v>
      </c>
      <c r="SG7" s="7">
        <v>794</v>
      </c>
      <c r="SH7" s="7">
        <v>794</v>
      </c>
      <c r="SI7" s="7">
        <v>794</v>
      </c>
      <c r="SJ7" s="7">
        <v>794</v>
      </c>
      <c r="SK7" s="7">
        <v>794</v>
      </c>
      <c r="SL7" s="7">
        <v>794</v>
      </c>
      <c r="SM7" s="7">
        <v>794</v>
      </c>
      <c r="SN7" s="7">
        <v>794</v>
      </c>
      <c r="SO7" s="7">
        <v>794</v>
      </c>
      <c r="SP7" s="7">
        <v>794</v>
      </c>
      <c r="SQ7" s="7">
        <v>794</v>
      </c>
      <c r="SR7" s="7">
        <v>794</v>
      </c>
      <c r="SS7" s="7">
        <v>794</v>
      </c>
      <c r="ST7" s="7">
        <v>794</v>
      </c>
      <c r="SU7" s="7">
        <v>794</v>
      </c>
      <c r="SV7" s="7">
        <v>794</v>
      </c>
      <c r="SW7" s="7">
        <v>794</v>
      </c>
      <c r="SX7" s="7">
        <v>1106</v>
      </c>
      <c r="SY7" s="7">
        <v>1191</v>
      </c>
      <c r="SZ7" s="7">
        <v>1154</v>
      </c>
      <c r="TA7" s="7">
        <v>1085</v>
      </c>
      <c r="TB7" s="10">
        <v>1056</v>
      </c>
      <c r="TC7" s="10">
        <v>940</v>
      </c>
      <c r="TD7" s="10">
        <v>900</v>
      </c>
      <c r="TE7" s="10">
        <v>1083</v>
      </c>
      <c r="TF7" s="10">
        <v>1233</v>
      </c>
      <c r="TG7" s="10">
        <v>1167</v>
      </c>
      <c r="TH7" s="10">
        <v>1162</v>
      </c>
      <c r="TI7" s="10">
        <v>1148</v>
      </c>
      <c r="TJ7" s="10">
        <v>1108</v>
      </c>
      <c r="TK7" s="10">
        <v>1057</v>
      </c>
      <c r="TL7" s="10">
        <v>1037</v>
      </c>
      <c r="TM7" s="10">
        <v>1050</v>
      </c>
      <c r="TN7" s="10">
        <v>987</v>
      </c>
      <c r="TO7" s="198">
        <v>1068</v>
      </c>
      <c r="TP7" s="198">
        <v>1052</v>
      </c>
      <c r="TQ7" s="198">
        <v>1122</v>
      </c>
      <c r="TR7" s="198">
        <v>1111</v>
      </c>
      <c r="TS7" s="198">
        <v>1154</v>
      </c>
      <c r="TT7" s="198">
        <v>1178</v>
      </c>
      <c r="TU7" s="198">
        <v>1134</v>
      </c>
      <c r="TV7" s="198">
        <v>1134</v>
      </c>
      <c r="TW7" s="10">
        <v>1154</v>
      </c>
      <c r="TX7" s="10">
        <v>1094</v>
      </c>
      <c r="TY7" s="10">
        <v>1125</v>
      </c>
      <c r="TZ7" s="10">
        <v>1354</v>
      </c>
      <c r="UA7" s="10">
        <v>1366</v>
      </c>
      <c r="UB7" s="10">
        <v>1366</v>
      </c>
      <c r="UC7" s="10"/>
      <c r="UD7" s="10"/>
      <c r="UE7" s="10"/>
      <c r="UF7" s="10">
        <v>1225</v>
      </c>
      <c r="UG7" s="10">
        <v>1202</v>
      </c>
      <c r="UH7" s="10">
        <v>1206</v>
      </c>
      <c r="UI7" s="10">
        <v>1281</v>
      </c>
      <c r="UJ7" s="10">
        <v>1151</v>
      </c>
      <c r="UK7" s="10">
        <v>1142</v>
      </c>
      <c r="UL7" s="10">
        <v>1100</v>
      </c>
      <c r="UM7" s="10">
        <v>1004</v>
      </c>
      <c r="UN7" s="10">
        <v>891</v>
      </c>
      <c r="UO7" s="10">
        <v>766</v>
      </c>
      <c r="UP7" s="10">
        <v>830</v>
      </c>
      <c r="UQ7" s="10">
        <v>749</v>
      </c>
      <c r="UR7" s="10">
        <v>659</v>
      </c>
      <c r="US7" s="10">
        <v>659</v>
      </c>
      <c r="UU7" s="85" t="s">
        <v>82</v>
      </c>
      <c r="UV7" s="10">
        <f>UW74</f>
        <v>861</v>
      </c>
      <c r="UW7" s="125">
        <f t="shared" si="0"/>
        <v>0.57399999999999995</v>
      </c>
      <c r="UX7" s="7"/>
      <c r="UY7" s="7"/>
      <c r="UZ7" s="7"/>
      <c r="VA7" s="6" t="s">
        <v>82</v>
      </c>
      <c r="VB7" s="7" t="s">
        <v>132</v>
      </c>
      <c r="VC7" s="7">
        <f>'All WH'!AIR10</f>
        <v>1500</v>
      </c>
      <c r="VD7" s="7"/>
      <c r="VE7" t="s">
        <v>135</v>
      </c>
      <c r="VF7" t="s">
        <v>134</v>
      </c>
    </row>
    <row r="8" spans="1:603" ht="45" x14ac:dyDescent="0.25">
      <c r="A8" s="6" t="s">
        <v>73</v>
      </c>
      <c r="B8" s="8" t="s">
        <v>55</v>
      </c>
      <c r="C8" s="77"/>
      <c r="EX8" s="7"/>
      <c r="EY8" s="7"/>
      <c r="EZ8" s="78">
        <v>3600</v>
      </c>
      <c r="FA8" s="78">
        <v>3600</v>
      </c>
      <c r="FB8" s="78">
        <v>3600</v>
      </c>
      <c r="FC8" s="78">
        <v>3600</v>
      </c>
      <c r="FD8" s="78">
        <v>3600</v>
      </c>
      <c r="FE8" s="78">
        <v>3600</v>
      </c>
      <c r="FF8" s="78">
        <v>3600</v>
      </c>
      <c r="FG8" s="78">
        <v>3600</v>
      </c>
      <c r="FH8" s="78">
        <v>3600</v>
      </c>
      <c r="FI8" s="78">
        <v>3600</v>
      </c>
      <c r="FJ8" s="78">
        <v>3600</v>
      </c>
      <c r="FK8" s="78">
        <v>3600</v>
      </c>
      <c r="FL8" s="78">
        <v>3600</v>
      </c>
      <c r="FM8" s="78">
        <v>3600</v>
      </c>
      <c r="FN8" s="78">
        <v>3600</v>
      </c>
      <c r="FO8" s="78">
        <v>3600</v>
      </c>
      <c r="FP8" s="78">
        <v>3600</v>
      </c>
      <c r="FQ8" s="78">
        <v>3600</v>
      </c>
      <c r="FR8" s="78">
        <v>3600</v>
      </c>
      <c r="FS8" s="78">
        <v>3600</v>
      </c>
      <c r="FT8" s="78">
        <v>3600</v>
      </c>
      <c r="FU8" s="78">
        <v>3600</v>
      </c>
      <c r="FV8" s="78">
        <v>3600</v>
      </c>
      <c r="FW8" s="78">
        <v>3600</v>
      </c>
      <c r="FX8" s="78">
        <v>3600</v>
      </c>
      <c r="FY8" s="78">
        <v>3600</v>
      </c>
      <c r="FZ8" s="78">
        <v>3600</v>
      </c>
      <c r="GA8" s="78">
        <v>3600</v>
      </c>
      <c r="GB8" s="78">
        <v>3600</v>
      </c>
      <c r="GC8" s="78">
        <v>3600</v>
      </c>
      <c r="GD8" s="78">
        <v>3600</v>
      </c>
      <c r="GE8" s="78">
        <v>3600</v>
      </c>
      <c r="GF8" s="78">
        <v>3600</v>
      </c>
      <c r="GG8" s="78">
        <v>3600</v>
      </c>
      <c r="GH8" s="78">
        <v>3600</v>
      </c>
      <c r="GI8" s="78">
        <v>3600</v>
      </c>
      <c r="GJ8" s="78">
        <v>3600</v>
      </c>
      <c r="GK8" s="78">
        <v>3600</v>
      </c>
      <c r="GL8" s="78"/>
      <c r="GM8" s="78">
        <v>3600</v>
      </c>
      <c r="GN8" s="78">
        <v>2132</v>
      </c>
      <c r="GO8" s="78">
        <v>2132</v>
      </c>
      <c r="GP8" s="78">
        <v>2132</v>
      </c>
      <c r="GQ8" s="78">
        <v>2132</v>
      </c>
      <c r="GR8" s="78">
        <v>2132</v>
      </c>
      <c r="GS8" s="78">
        <v>2132</v>
      </c>
      <c r="GT8" s="78">
        <v>2132</v>
      </c>
      <c r="GU8" s="78">
        <v>2132</v>
      </c>
      <c r="GV8" s="78">
        <v>2132</v>
      </c>
      <c r="GW8" s="78">
        <v>2132</v>
      </c>
      <c r="GX8" s="78">
        <v>2132</v>
      </c>
      <c r="GY8" s="78">
        <v>2132</v>
      </c>
      <c r="GZ8" s="78">
        <v>2132</v>
      </c>
      <c r="HA8" s="78">
        <v>2132</v>
      </c>
      <c r="HB8" s="78">
        <v>2132</v>
      </c>
      <c r="HC8" s="78">
        <v>2132</v>
      </c>
      <c r="HD8" s="78">
        <v>2132</v>
      </c>
      <c r="HE8" s="78">
        <v>2132</v>
      </c>
      <c r="HF8" s="78">
        <v>2132</v>
      </c>
      <c r="HG8" s="78">
        <v>2132</v>
      </c>
      <c r="HH8" s="78">
        <v>2132</v>
      </c>
      <c r="HI8" s="78">
        <v>2132</v>
      </c>
      <c r="HJ8" s="78">
        <v>2132</v>
      </c>
      <c r="HK8" s="78">
        <v>2132</v>
      </c>
      <c r="HL8" s="78">
        <v>2132</v>
      </c>
      <c r="HM8" s="78">
        <v>2132</v>
      </c>
      <c r="HN8" s="78">
        <v>2132</v>
      </c>
      <c r="HO8" s="78">
        <v>2132</v>
      </c>
      <c r="HP8" s="78">
        <v>2132</v>
      </c>
      <c r="HQ8" s="78">
        <v>2132</v>
      </c>
      <c r="HR8" s="78">
        <v>2132</v>
      </c>
      <c r="HS8" s="78">
        <v>2132</v>
      </c>
      <c r="HT8" s="78">
        <v>2132</v>
      </c>
      <c r="HU8" s="78">
        <v>2132</v>
      </c>
      <c r="HV8" s="78">
        <v>2132</v>
      </c>
      <c r="HW8" s="78">
        <v>2132</v>
      </c>
      <c r="HX8" s="78">
        <v>2132</v>
      </c>
      <c r="HY8" s="78">
        <v>2132</v>
      </c>
      <c r="HZ8" s="78">
        <v>2132</v>
      </c>
      <c r="IA8" s="78">
        <v>2132</v>
      </c>
      <c r="IB8" s="78">
        <v>2132</v>
      </c>
      <c r="IC8" s="78">
        <v>2132</v>
      </c>
      <c r="ID8" s="78">
        <v>2132</v>
      </c>
      <c r="IE8" s="78">
        <v>2132</v>
      </c>
      <c r="IF8" s="78">
        <v>2132</v>
      </c>
      <c r="IG8" s="78">
        <v>2132</v>
      </c>
      <c r="IH8" s="78">
        <v>2132</v>
      </c>
      <c r="II8" s="78">
        <v>2132</v>
      </c>
      <c r="IJ8" s="78">
        <v>2132</v>
      </c>
      <c r="IK8" s="78">
        <v>2132</v>
      </c>
      <c r="IL8" s="78">
        <v>2132</v>
      </c>
      <c r="IM8" s="78">
        <v>2132</v>
      </c>
      <c r="IN8" s="78">
        <v>2132</v>
      </c>
      <c r="IO8" s="78">
        <v>2132</v>
      </c>
      <c r="IP8" s="78">
        <v>2132</v>
      </c>
      <c r="IQ8" s="78">
        <v>2132</v>
      </c>
      <c r="IR8" s="78">
        <v>2132</v>
      </c>
      <c r="IS8" s="78">
        <v>2132</v>
      </c>
      <c r="IT8" s="78">
        <v>2132</v>
      </c>
      <c r="IU8" s="78">
        <v>2132</v>
      </c>
      <c r="IV8" s="78">
        <v>2132</v>
      </c>
      <c r="IW8" s="78">
        <v>2132</v>
      </c>
      <c r="IX8" s="78">
        <v>2132</v>
      </c>
      <c r="IY8" s="78">
        <v>2132</v>
      </c>
      <c r="IZ8" s="78">
        <v>2132</v>
      </c>
      <c r="JA8" s="78">
        <v>2132</v>
      </c>
      <c r="JB8" s="78">
        <v>2132</v>
      </c>
      <c r="JC8" s="78">
        <v>2132</v>
      </c>
      <c r="JD8" s="78">
        <v>2132</v>
      </c>
      <c r="JE8" s="78">
        <v>2132</v>
      </c>
      <c r="JF8" s="78">
        <v>6200</v>
      </c>
      <c r="JG8" s="78">
        <v>6200</v>
      </c>
      <c r="JH8" s="78">
        <v>6200</v>
      </c>
      <c r="JI8" s="78">
        <v>6200</v>
      </c>
      <c r="JJ8" s="78">
        <v>6200</v>
      </c>
      <c r="JK8" s="78">
        <v>6200</v>
      </c>
      <c r="JL8" s="78">
        <v>6200</v>
      </c>
      <c r="JM8" s="78">
        <v>6200</v>
      </c>
      <c r="JN8" s="78">
        <v>6200</v>
      </c>
      <c r="JO8" s="78">
        <v>6200</v>
      </c>
      <c r="JP8" s="78">
        <v>6200</v>
      </c>
      <c r="JQ8" s="78">
        <v>6200</v>
      </c>
      <c r="JR8" s="78">
        <v>6200</v>
      </c>
      <c r="JS8" s="78">
        <v>6200</v>
      </c>
      <c r="JT8" s="78">
        <v>6200</v>
      </c>
      <c r="JU8" s="78">
        <v>6200</v>
      </c>
      <c r="JV8" s="78">
        <v>6200</v>
      </c>
      <c r="JW8" s="104">
        <v>6200</v>
      </c>
      <c r="JX8" s="475"/>
      <c r="JY8" s="107" t="s">
        <v>128</v>
      </c>
      <c r="JZ8" s="85" t="s">
        <v>129</v>
      </c>
      <c r="KA8" s="106"/>
      <c r="KB8" s="6" t="s">
        <v>82</v>
      </c>
      <c r="KC8" s="7">
        <v>469</v>
      </c>
      <c r="KD8" s="7">
        <v>487</v>
      </c>
      <c r="KE8" s="7">
        <v>512</v>
      </c>
      <c r="KF8" s="7">
        <v>512</v>
      </c>
      <c r="KG8" s="7">
        <v>512</v>
      </c>
      <c r="KH8" s="7">
        <v>512</v>
      </c>
      <c r="KI8" s="7">
        <v>702</v>
      </c>
      <c r="KJ8" s="7">
        <v>755</v>
      </c>
      <c r="OP8" s="90"/>
      <c r="OQ8" s="90"/>
      <c r="OR8" s="90"/>
      <c r="OS8" s="90"/>
      <c r="OT8" s="90"/>
      <c r="OU8" s="90"/>
      <c r="OV8" s="90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</row>
    <row r="9" spans="1:603" x14ac:dyDescent="0.25">
      <c r="EX9" s="7"/>
      <c r="EY9" s="7"/>
      <c r="EZ9" s="7"/>
      <c r="FA9" s="7"/>
      <c r="FB9" s="7"/>
      <c r="FC9" s="7"/>
      <c r="FD9" s="7">
        <v>7808</v>
      </c>
      <c r="FE9" s="7">
        <v>6154</v>
      </c>
      <c r="FF9" s="7">
        <v>6154</v>
      </c>
      <c r="FG9" s="7">
        <v>7020</v>
      </c>
      <c r="FH9" s="7">
        <v>7020</v>
      </c>
      <c r="FI9" s="7">
        <v>7594</v>
      </c>
      <c r="FJ9" s="7">
        <v>8028</v>
      </c>
      <c r="FK9" s="7">
        <v>8028</v>
      </c>
      <c r="FL9" s="7">
        <v>8165</v>
      </c>
      <c r="FM9" s="7">
        <v>8165</v>
      </c>
      <c r="FN9" s="7">
        <v>8263</v>
      </c>
      <c r="FO9" s="7">
        <v>8415</v>
      </c>
      <c r="FP9" s="7">
        <v>8491</v>
      </c>
      <c r="FQ9" s="7">
        <v>8261</v>
      </c>
      <c r="FR9" s="7">
        <v>8543</v>
      </c>
      <c r="FS9" s="7">
        <v>8485</v>
      </c>
      <c r="FT9" s="7">
        <v>8485</v>
      </c>
      <c r="FU9" s="7">
        <v>8485</v>
      </c>
      <c r="FV9" s="7">
        <v>8017</v>
      </c>
      <c r="FW9" s="7">
        <v>7664</v>
      </c>
      <c r="FX9" s="7">
        <v>7664</v>
      </c>
      <c r="FY9" s="7">
        <v>7664</v>
      </c>
      <c r="FZ9" s="7">
        <v>6697</v>
      </c>
      <c r="GA9" s="7">
        <v>7843</v>
      </c>
      <c r="GB9" s="7">
        <v>7843</v>
      </c>
      <c r="GC9" s="7">
        <v>7843</v>
      </c>
      <c r="GD9" s="7">
        <v>8608</v>
      </c>
      <c r="GE9" s="7">
        <v>8853</v>
      </c>
      <c r="GF9" s="7">
        <v>8853</v>
      </c>
      <c r="GG9" s="7">
        <v>8998</v>
      </c>
      <c r="GH9" s="7">
        <v>8395</v>
      </c>
      <c r="GI9" s="7">
        <v>8157</v>
      </c>
      <c r="GJ9" s="7">
        <v>8157</v>
      </c>
      <c r="GK9" s="7">
        <v>7269</v>
      </c>
      <c r="GL9" s="7">
        <v>7222</v>
      </c>
      <c r="GM9" s="7">
        <v>7222</v>
      </c>
      <c r="GN9" s="7">
        <v>7222</v>
      </c>
      <c r="GO9" s="7">
        <v>7222</v>
      </c>
      <c r="GP9" s="7">
        <v>7222</v>
      </c>
      <c r="GQ9" s="7">
        <v>7222</v>
      </c>
      <c r="GR9" s="7">
        <v>7813</v>
      </c>
      <c r="GS9" s="7">
        <v>7813</v>
      </c>
      <c r="GT9" s="7">
        <v>8475</v>
      </c>
      <c r="GU9" s="7">
        <v>8475</v>
      </c>
      <c r="GV9" s="7">
        <v>8475</v>
      </c>
      <c r="GW9" s="7">
        <v>8475</v>
      </c>
      <c r="GX9" s="7">
        <v>8096</v>
      </c>
      <c r="GY9" s="7">
        <v>7045</v>
      </c>
      <c r="GZ9" s="7">
        <v>7045</v>
      </c>
      <c r="HA9" s="7">
        <v>6129</v>
      </c>
      <c r="HB9" s="7">
        <v>6129</v>
      </c>
      <c r="HC9" s="7">
        <v>6129</v>
      </c>
      <c r="HD9" s="7">
        <v>6661</v>
      </c>
      <c r="HE9" s="7">
        <v>7127</v>
      </c>
      <c r="HF9" s="7">
        <v>7127</v>
      </c>
      <c r="HG9" s="7">
        <v>7127</v>
      </c>
      <c r="HH9" s="7">
        <v>7755</v>
      </c>
      <c r="HI9" s="7">
        <v>7755</v>
      </c>
      <c r="HJ9" s="7">
        <v>8010</v>
      </c>
      <c r="HK9" s="7">
        <v>7418</v>
      </c>
      <c r="HL9" s="7">
        <v>7418</v>
      </c>
      <c r="HM9" s="7">
        <v>7418</v>
      </c>
      <c r="HN9" s="7">
        <v>7418</v>
      </c>
      <c r="HO9" s="7">
        <v>7418</v>
      </c>
      <c r="HP9" s="7">
        <v>7656</v>
      </c>
      <c r="HQ9" s="7">
        <v>7656</v>
      </c>
      <c r="HR9" s="7">
        <v>7347</v>
      </c>
      <c r="HS9" s="7">
        <v>7347</v>
      </c>
      <c r="HT9" s="7">
        <v>7632</v>
      </c>
      <c r="HU9" s="7">
        <v>7632</v>
      </c>
      <c r="HV9" s="7">
        <v>8042</v>
      </c>
      <c r="HW9" s="7">
        <v>8102</v>
      </c>
      <c r="HX9" s="7">
        <v>8102</v>
      </c>
      <c r="HY9" s="7">
        <v>8420</v>
      </c>
      <c r="HZ9" s="7">
        <v>7842</v>
      </c>
      <c r="IA9" s="7">
        <v>7783</v>
      </c>
      <c r="IB9" s="7">
        <v>7570</v>
      </c>
      <c r="IC9" s="7">
        <v>7570</v>
      </c>
      <c r="ID9" s="7">
        <v>7570</v>
      </c>
      <c r="IE9" s="7">
        <v>7570</v>
      </c>
      <c r="IF9" s="7">
        <v>6885</v>
      </c>
      <c r="IG9" s="7">
        <v>6885</v>
      </c>
      <c r="IH9" s="7">
        <v>6885</v>
      </c>
      <c r="II9" s="7">
        <v>7426</v>
      </c>
      <c r="IJ9" s="7">
        <v>7426</v>
      </c>
      <c r="IK9" s="7">
        <v>7334</v>
      </c>
      <c r="IL9" s="7">
        <v>8594</v>
      </c>
      <c r="IM9" s="7">
        <v>8594</v>
      </c>
      <c r="IN9" s="7">
        <v>8146</v>
      </c>
      <c r="IO9" s="7">
        <v>8146</v>
      </c>
      <c r="IP9" s="7">
        <v>8038</v>
      </c>
      <c r="IQ9" s="7">
        <v>8038</v>
      </c>
      <c r="IR9" s="7">
        <v>8038</v>
      </c>
      <c r="IS9" s="7">
        <v>8038</v>
      </c>
      <c r="IT9" s="7">
        <v>8038</v>
      </c>
      <c r="IU9" s="7">
        <v>8038</v>
      </c>
      <c r="IV9" s="7">
        <v>8038</v>
      </c>
      <c r="IW9" s="7">
        <v>8038</v>
      </c>
      <c r="IX9" s="7">
        <v>6647</v>
      </c>
      <c r="IY9" s="7">
        <v>6647</v>
      </c>
      <c r="IZ9" s="7">
        <v>5398</v>
      </c>
      <c r="JA9" s="7">
        <v>4693</v>
      </c>
      <c r="JB9" s="7">
        <v>4693</v>
      </c>
      <c r="JC9" s="7">
        <v>4693</v>
      </c>
      <c r="JD9" s="7">
        <v>4326</v>
      </c>
      <c r="JE9" s="7">
        <v>4326</v>
      </c>
      <c r="JF9" s="7">
        <v>4326</v>
      </c>
      <c r="JG9" s="7">
        <v>4290</v>
      </c>
      <c r="JH9" s="7">
        <v>4240</v>
      </c>
      <c r="JI9" s="7">
        <v>5002</v>
      </c>
      <c r="JJ9" s="7">
        <v>5002</v>
      </c>
      <c r="JK9" s="7">
        <v>5247</v>
      </c>
      <c r="JL9" s="7">
        <v>5247</v>
      </c>
      <c r="JM9" s="7">
        <v>5247</v>
      </c>
      <c r="JN9" s="7">
        <v>5247</v>
      </c>
      <c r="JO9" s="7">
        <v>4574</v>
      </c>
      <c r="JP9" s="7">
        <v>4573</v>
      </c>
      <c r="JQ9" s="7">
        <v>4932</v>
      </c>
      <c r="JR9" s="7">
        <v>4979</v>
      </c>
      <c r="JS9" s="7">
        <v>5116</v>
      </c>
      <c r="JT9" s="7">
        <v>5116</v>
      </c>
      <c r="JU9" s="7">
        <v>5109</v>
      </c>
      <c r="JV9" s="7">
        <v>5652</v>
      </c>
      <c r="JW9" s="103">
        <v>5663</v>
      </c>
      <c r="JX9" s="475"/>
      <c r="JY9" s="108" t="s">
        <v>131</v>
      </c>
      <c r="JZ9" s="7" t="s">
        <v>132</v>
      </c>
      <c r="KD9" s="90"/>
      <c r="KE9" s="90"/>
      <c r="KF9" s="90"/>
      <c r="KG9" s="90"/>
      <c r="KH9" s="90"/>
      <c r="KI9" s="90"/>
      <c r="KJ9" s="90"/>
      <c r="KK9" s="90"/>
      <c r="KL9" s="90"/>
      <c r="KM9" s="90"/>
      <c r="KN9" s="90"/>
      <c r="KO9" s="90"/>
      <c r="KP9" s="90"/>
      <c r="KQ9" s="90"/>
      <c r="KR9" s="90"/>
      <c r="KS9" s="90"/>
      <c r="KT9" s="90"/>
      <c r="KU9" s="90"/>
      <c r="KV9" s="90"/>
      <c r="KW9" s="90"/>
      <c r="KX9" s="90"/>
      <c r="KY9" s="90"/>
      <c r="KZ9" s="90"/>
      <c r="LA9" s="90"/>
      <c r="LB9" s="90"/>
      <c r="LC9" s="90"/>
      <c r="LD9" s="90"/>
      <c r="LE9" s="90"/>
      <c r="LF9" s="90"/>
      <c r="LG9" s="90"/>
      <c r="LH9" s="90"/>
      <c r="LI9" s="90"/>
      <c r="LJ9" s="90"/>
      <c r="LK9" s="90"/>
      <c r="LL9" s="90"/>
      <c r="LM9" s="90"/>
      <c r="LN9" s="90"/>
      <c r="LO9" s="90"/>
      <c r="LP9" s="90"/>
      <c r="LQ9" s="90"/>
      <c r="LR9" s="90"/>
      <c r="LS9" s="90"/>
      <c r="LT9" s="90"/>
      <c r="LU9" s="90"/>
      <c r="LV9" s="90"/>
      <c r="LW9" s="90"/>
      <c r="LX9" s="90"/>
      <c r="LY9" s="90"/>
      <c r="LZ9" s="90"/>
      <c r="MA9" s="90"/>
      <c r="MB9" s="90"/>
      <c r="MC9" s="90"/>
      <c r="MD9" s="90"/>
      <c r="ME9" s="90"/>
      <c r="MF9" s="90"/>
      <c r="MG9" s="90"/>
      <c r="MH9" s="90"/>
      <c r="MI9" s="90"/>
      <c r="MJ9" s="90"/>
      <c r="MK9" s="90"/>
      <c r="ML9" s="90"/>
      <c r="MM9" s="90"/>
      <c r="MN9" s="90"/>
      <c r="MO9" s="90"/>
      <c r="MP9" s="90"/>
      <c r="MQ9" s="90"/>
      <c r="MR9" s="90"/>
      <c r="MS9" s="90"/>
      <c r="MT9" s="90"/>
      <c r="MU9" s="90"/>
      <c r="MV9" s="90"/>
      <c r="MW9" s="90"/>
      <c r="MX9" s="90"/>
      <c r="MY9" s="90"/>
      <c r="MZ9" s="90"/>
      <c r="NA9" s="90"/>
      <c r="NB9" s="90"/>
      <c r="NC9" s="90"/>
      <c r="ND9" s="90"/>
      <c r="NE9" s="90"/>
      <c r="NF9" s="90"/>
      <c r="NG9" s="90"/>
      <c r="NH9" s="90"/>
      <c r="NI9" s="90"/>
      <c r="NJ9" s="90"/>
      <c r="NK9" s="90"/>
      <c r="NL9" s="90"/>
      <c r="NM9" s="90"/>
      <c r="NN9" s="90"/>
      <c r="NO9" s="90"/>
      <c r="NP9" s="90"/>
      <c r="NQ9" s="90"/>
      <c r="NR9" s="90"/>
      <c r="NS9" s="90"/>
      <c r="NT9" s="90"/>
      <c r="NU9" s="90"/>
      <c r="NV9" s="90"/>
      <c r="NW9" s="90"/>
      <c r="NX9" s="90"/>
      <c r="NY9" s="90"/>
      <c r="NZ9" s="90"/>
      <c r="OA9" s="90"/>
      <c r="OB9" s="90"/>
      <c r="OC9" s="90"/>
      <c r="OD9" s="90"/>
      <c r="OE9" s="90"/>
      <c r="OF9" s="90"/>
      <c r="OG9" s="90"/>
      <c r="OH9" s="90"/>
      <c r="OI9" s="90"/>
      <c r="OJ9" s="90"/>
      <c r="OK9" s="90"/>
      <c r="OL9" s="90"/>
      <c r="OM9" s="90"/>
      <c r="ON9" s="90"/>
      <c r="OO9" s="90"/>
    </row>
    <row r="10" spans="1:603" x14ac:dyDescent="0.25">
      <c r="EX10" s="7"/>
      <c r="EY10" s="7"/>
      <c r="EZ10" s="7"/>
      <c r="FA10" s="7"/>
      <c r="FB10" s="7"/>
      <c r="FC10" s="7"/>
      <c r="FD10" s="7">
        <v>1018</v>
      </c>
      <c r="FE10" s="7">
        <v>1094</v>
      </c>
      <c r="FF10" s="7">
        <v>1094</v>
      </c>
      <c r="FG10" s="7">
        <v>1080</v>
      </c>
      <c r="FH10" s="7">
        <v>1080</v>
      </c>
      <c r="FI10" s="7">
        <v>1074</v>
      </c>
      <c r="FJ10" s="7">
        <v>1148</v>
      </c>
      <c r="FK10" s="7">
        <v>1148</v>
      </c>
      <c r="FL10" s="7">
        <v>1108</v>
      </c>
      <c r="FM10" s="7">
        <v>1108</v>
      </c>
      <c r="FN10" s="7">
        <v>1105</v>
      </c>
      <c r="FO10" s="7">
        <v>1099</v>
      </c>
      <c r="FP10" s="7">
        <v>1052</v>
      </c>
      <c r="FQ10" s="7">
        <v>1045</v>
      </c>
      <c r="FR10" s="7">
        <v>1332</v>
      </c>
      <c r="FS10" s="7">
        <v>1280</v>
      </c>
      <c r="FT10" s="7">
        <v>1280</v>
      </c>
      <c r="FU10" s="7">
        <v>1280</v>
      </c>
      <c r="FV10" s="7">
        <v>1204</v>
      </c>
      <c r="FW10" s="7">
        <v>1154</v>
      </c>
      <c r="FX10" s="7">
        <v>1154</v>
      </c>
      <c r="FY10" s="7">
        <v>1154</v>
      </c>
      <c r="FZ10" s="7">
        <v>1087</v>
      </c>
      <c r="GA10" s="7">
        <v>1273</v>
      </c>
      <c r="GB10" s="7">
        <v>1273</v>
      </c>
      <c r="GC10" s="7">
        <v>1273</v>
      </c>
      <c r="GD10" s="7">
        <v>1441</v>
      </c>
      <c r="GE10" s="7">
        <v>1469</v>
      </c>
      <c r="GF10" s="7">
        <v>1469</v>
      </c>
      <c r="GG10" s="7">
        <v>1451</v>
      </c>
      <c r="GH10" s="7">
        <v>1514</v>
      </c>
      <c r="GI10" s="7">
        <v>1644</v>
      </c>
      <c r="GJ10" s="7">
        <v>1644</v>
      </c>
      <c r="GK10" s="7">
        <v>1527</v>
      </c>
      <c r="GL10" s="7">
        <v>1426</v>
      </c>
      <c r="GM10" s="7">
        <v>1426</v>
      </c>
      <c r="GN10" s="7">
        <v>1426</v>
      </c>
      <c r="GO10" s="7">
        <v>1426</v>
      </c>
      <c r="GP10" s="7">
        <v>1426</v>
      </c>
      <c r="GQ10" s="7">
        <v>1426</v>
      </c>
      <c r="GR10" s="7">
        <v>1553</v>
      </c>
      <c r="GS10" s="7">
        <v>1553</v>
      </c>
      <c r="GT10" s="7">
        <v>1483</v>
      </c>
      <c r="GU10" s="7">
        <v>1483</v>
      </c>
      <c r="GV10" s="7">
        <v>1483</v>
      </c>
      <c r="GW10" s="7">
        <v>1483</v>
      </c>
      <c r="GX10" s="7">
        <v>1287</v>
      </c>
      <c r="GY10" s="7">
        <v>1306</v>
      </c>
      <c r="GZ10" s="7">
        <v>1306</v>
      </c>
      <c r="HA10" s="7">
        <v>1352</v>
      </c>
      <c r="HB10" s="7">
        <v>1352</v>
      </c>
      <c r="HC10" s="7">
        <v>1352</v>
      </c>
      <c r="HD10" s="7">
        <v>1401</v>
      </c>
      <c r="HE10" s="7">
        <v>1317</v>
      </c>
      <c r="HF10" s="7">
        <v>1317</v>
      </c>
      <c r="HG10" s="7">
        <v>1317</v>
      </c>
      <c r="HH10" s="7">
        <v>1157</v>
      </c>
      <c r="HI10" s="7">
        <v>1157</v>
      </c>
      <c r="HJ10" s="7">
        <v>1029</v>
      </c>
      <c r="HK10" s="7">
        <v>1083</v>
      </c>
      <c r="HL10" s="7">
        <v>1083</v>
      </c>
      <c r="HM10" s="7">
        <v>1083</v>
      </c>
      <c r="HN10" s="7">
        <v>1083</v>
      </c>
      <c r="HO10" s="7">
        <v>1083</v>
      </c>
      <c r="HP10" s="7">
        <v>845</v>
      </c>
      <c r="HQ10" s="7">
        <v>845</v>
      </c>
      <c r="HR10" s="7">
        <v>778</v>
      </c>
      <c r="HS10" s="7">
        <v>778</v>
      </c>
      <c r="HT10" s="7">
        <v>942</v>
      </c>
      <c r="HU10" s="7">
        <v>942</v>
      </c>
      <c r="HV10" s="7">
        <v>909</v>
      </c>
      <c r="HW10" s="7">
        <v>967</v>
      </c>
      <c r="HX10" s="7">
        <v>967</v>
      </c>
      <c r="HY10" s="7">
        <v>967</v>
      </c>
      <c r="HZ10" s="7">
        <v>925</v>
      </c>
      <c r="IA10" s="7">
        <v>947</v>
      </c>
      <c r="IB10" s="7">
        <v>887</v>
      </c>
      <c r="IC10" s="7">
        <v>887</v>
      </c>
      <c r="ID10" s="7">
        <v>887</v>
      </c>
      <c r="IE10" s="7">
        <v>887</v>
      </c>
      <c r="IF10" s="7">
        <v>863</v>
      </c>
      <c r="IG10" s="7">
        <v>863</v>
      </c>
      <c r="IH10" s="7">
        <v>863</v>
      </c>
      <c r="II10" s="7">
        <v>976</v>
      </c>
      <c r="IJ10" s="7">
        <v>976</v>
      </c>
      <c r="IK10" s="7">
        <v>1024</v>
      </c>
      <c r="IL10" s="7">
        <v>1335</v>
      </c>
      <c r="IM10" s="7">
        <v>1335</v>
      </c>
      <c r="IN10" s="7">
        <v>929</v>
      </c>
      <c r="IO10" s="7">
        <v>929</v>
      </c>
      <c r="IP10" s="7">
        <v>753</v>
      </c>
      <c r="IQ10" s="7">
        <v>753</v>
      </c>
      <c r="IR10" s="7">
        <v>753</v>
      </c>
      <c r="IS10" s="7">
        <v>753</v>
      </c>
      <c r="IT10" s="7">
        <v>753</v>
      </c>
      <c r="IU10" s="7">
        <v>753</v>
      </c>
      <c r="IV10" s="7">
        <v>753</v>
      </c>
      <c r="IW10" s="7">
        <v>753</v>
      </c>
      <c r="IX10" s="7">
        <v>836</v>
      </c>
      <c r="IY10" s="7">
        <v>836</v>
      </c>
      <c r="IZ10" s="7">
        <v>562</v>
      </c>
      <c r="JA10" s="7">
        <v>679</v>
      </c>
      <c r="JB10" s="7">
        <v>679</v>
      </c>
      <c r="JC10" s="7">
        <v>679</v>
      </c>
      <c r="JD10" s="7">
        <v>704</v>
      </c>
      <c r="JE10" s="7">
        <v>704</v>
      </c>
      <c r="JF10" s="7">
        <v>704</v>
      </c>
      <c r="JG10" s="7">
        <v>513</v>
      </c>
      <c r="JH10" s="7">
        <v>533</v>
      </c>
      <c r="JI10" s="7">
        <v>532</v>
      </c>
      <c r="JJ10" s="7">
        <v>532</v>
      </c>
      <c r="JK10" s="7">
        <v>470</v>
      </c>
      <c r="JL10" s="7">
        <v>470</v>
      </c>
      <c r="JM10" s="7">
        <v>470</v>
      </c>
      <c r="JN10" s="7">
        <v>470</v>
      </c>
      <c r="JO10" s="7">
        <v>510</v>
      </c>
      <c r="JP10" s="7">
        <v>482</v>
      </c>
      <c r="JQ10" s="7">
        <v>479</v>
      </c>
      <c r="JR10" s="7">
        <v>481</v>
      </c>
      <c r="JS10" s="7">
        <v>445</v>
      </c>
      <c r="JT10" s="7">
        <v>445</v>
      </c>
      <c r="JU10" s="7">
        <v>515</v>
      </c>
      <c r="JV10" s="7">
        <v>570</v>
      </c>
      <c r="JW10" s="103">
        <v>524</v>
      </c>
      <c r="JX10" s="476"/>
      <c r="JY10" s="24" t="s">
        <v>82</v>
      </c>
      <c r="JZ10" s="7" t="s">
        <v>132</v>
      </c>
      <c r="KD10" s="90"/>
      <c r="KE10" s="90"/>
      <c r="KF10" s="90"/>
      <c r="KG10" s="90"/>
      <c r="KH10" s="90"/>
      <c r="KI10" s="90"/>
      <c r="KJ10" s="90"/>
      <c r="KK10" s="90"/>
      <c r="KL10" s="90"/>
      <c r="KM10" s="90"/>
      <c r="KN10" s="90"/>
      <c r="KO10" s="90"/>
      <c r="KP10" s="90"/>
      <c r="KQ10" s="90"/>
      <c r="KR10" s="90"/>
      <c r="KS10" s="90"/>
      <c r="KT10" s="90"/>
      <c r="KU10" s="90"/>
      <c r="KV10" s="90"/>
      <c r="KW10" s="90"/>
      <c r="KX10" s="90"/>
      <c r="KY10" s="90"/>
      <c r="KZ10" s="90"/>
      <c r="LA10" s="90"/>
      <c r="LB10" s="90"/>
      <c r="LC10" s="90"/>
      <c r="LD10" s="90"/>
      <c r="LE10" s="90"/>
      <c r="LF10" s="90"/>
      <c r="LG10" s="90"/>
      <c r="LH10" s="90"/>
      <c r="LI10" s="90"/>
      <c r="LJ10" s="90"/>
      <c r="LK10" s="90"/>
      <c r="LL10" s="90"/>
      <c r="LM10" s="90"/>
      <c r="LN10" s="90"/>
      <c r="LO10" s="90"/>
      <c r="LP10" s="90"/>
      <c r="LQ10" s="90"/>
      <c r="LR10" s="90"/>
      <c r="LS10" s="90"/>
      <c r="LT10" s="90"/>
      <c r="LU10" s="90"/>
      <c r="LV10" s="90"/>
      <c r="LW10" s="90"/>
      <c r="LX10" s="90"/>
      <c r="LY10" s="90"/>
      <c r="LZ10" s="90"/>
      <c r="MA10" s="90"/>
      <c r="MB10" s="90"/>
      <c r="MC10" s="90"/>
      <c r="MD10" s="90"/>
      <c r="ME10" s="90"/>
      <c r="MF10" s="90"/>
      <c r="MG10" s="90"/>
      <c r="MH10" s="90"/>
      <c r="MI10" s="90"/>
      <c r="MJ10" s="90"/>
      <c r="MK10" s="90"/>
      <c r="ML10" s="90"/>
      <c r="MM10" s="90"/>
      <c r="MN10" s="90"/>
      <c r="MO10" s="90"/>
      <c r="MP10" s="90"/>
      <c r="MQ10" s="90"/>
      <c r="MR10" s="90"/>
      <c r="MS10" s="90"/>
      <c r="MT10" s="90"/>
      <c r="MU10" s="90"/>
      <c r="MV10" s="90"/>
      <c r="MW10" s="90"/>
      <c r="MX10" s="90"/>
      <c r="MY10" s="90"/>
      <c r="MZ10" s="90"/>
      <c r="NA10" s="90"/>
      <c r="NB10" s="90"/>
      <c r="NC10" s="90"/>
      <c r="ND10" s="90"/>
      <c r="NE10" s="90"/>
      <c r="NF10" s="90"/>
      <c r="NG10" s="90"/>
      <c r="NH10" s="90"/>
      <c r="NI10" s="90"/>
      <c r="NJ10" s="90"/>
      <c r="NK10" s="90"/>
      <c r="NL10" s="90"/>
      <c r="NM10" s="90"/>
      <c r="NN10" s="90"/>
      <c r="NO10" s="90"/>
      <c r="NP10" s="90"/>
      <c r="NQ10" s="90"/>
      <c r="NR10" s="90"/>
      <c r="NS10" s="90"/>
      <c r="NT10" s="90"/>
      <c r="NU10" s="90" t="s">
        <v>76</v>
      </c>
      <c r="NV10" s="90"/>
      <c r="NW10" s="90"/>
      <c r="NX10" s="90"/>
      <c r="NY10" s="90"/>
      <c r="NZ10" s="90"/>
      <c r="OA10" s="90"/>
      <c r="OB10" s="90"/>
      <c r="OC10" s="90"/>
      <c r="OD10" s="90"/>
      <c r="OE10" s="90"/>
      <c r="OF10" s="90"/>
      <c r="OG10" s="90"/>
      <c r="OH10" s="90"/>
      <c r="OI10" s="90"/>
      <c r="OJ10" s="90"/>
      <c r="OK10" s="90"/>
      <c r="OL10" s="90"/>
      <c r="OM10" s="90"/>
      <c r="ON10" s="90"/>
      <c r="OO10" s="90"/>
      <c r="OP10" s="90"/>
      <c r="OQ10" s="90"/>
      <c r="OR10" s="90"/>
      <c r="OS10" s="90"/>
      <c r="OT10" s="90"/>
      <c r="OU10" s="90"/>
      <c r="OV10" s="90"/>
      <c r="UU10" s="106"/>
      <c r="UW10" s="90"/>
      <c r="VA10" s="15"/>
      <c r="VI10"/>
      <c r="VJ10"/>
    </row>
    <row r="11" spans="1:603" x14ac:dyDescent="0.25">
      <c r="KD11" s="90"/>
      <c r="KE11" s="90"/>
      <c r="KF11" s="90"/>
      <c r="KG11" s="90"/>
      <c r="KH11" s="90"/>
      <c r="KI11" s="124"/>
      <c r="KJ11" s="124"/>
      <c r="KK11" s="124"/>
      <c r="KL11" s="124"/>
      <c r="KM11" s="124"/>
      <c r="KN11" s="124"/>
      <c r="KO11" s="124"/>
      <c r="KP11" s="124"/>
      <c r="KQ11" s="124"/>
      <c r="KR11" s="124"/>
      <c r="KS11" s="124"/>
      <c r="KT11" s="124"/>
      <c r="KU11" s="124"/>
      <c r="KV11" s="124"/>
      <c r="KW11" s="124"/>
      <c r="KX11" s="124"/>
      <c r="KY11" s="124"/>
      <c r="KZ11" s="124"/>
      <c r="LA11" s="124"/>
      <c r="LB11" s="124"/>
      <c r="LC11" s="124"/>
      <c r="LD11" s="124"/>
      <c r="LE11" s="124"/>
      <c r="LF11" s="124"/>
      <c r="LG11" s="124"/>
      <c r="LH11" s="124"/>
      <c r="LI11" s="124"/>
      <c r="LJ11" s="124"/>
      <c r="LK11" s="124"/>
      <c r="LL11" s="124"/>
      <c r="LM11" s="124"/>
      <c r="LN11" s="124"/>
      <c r="LO11" s="124"/>
      <c r="LP11" s="124"/>
      <c r="LQ11" s="124"/>
      <c r="LR11" s="124"/>
      <c r="LS11" s="124"/>
      <c r="LT11" s="124"/>
      <c r="LU11" s="124"/>
      <c r="LV11" s="124"/>
      <c r="LW11" s="124"/>
      <c r="LX11" s="124"/>
      <c r="LY11" s="124"/>
      <c r="LZ11" s="124"/>
      <c r="MA11" s="124"/>
      <c r="MB11" s="124"/>
      <c r="MC11" s="124"/>
      <c r="MD11" s="124"/>
      <c r="ME11" s="124"/>
      <c r="MF11" s="90"/>
      <c r="MG11" s="90"/>
      <c r="MH11" s="90"/>
      <c r="MI11" s="124"/>
      <c r="MJ11" s="124"/>
      <c r="MK11" s="124"/>
      <c r="ML11" s="124"/>
      <c r="MM11" s="124"/>
      <c r="MN11" s="124"/>
      <c r="MO11" s="124"/>
      <c r="MP11" s="124"/>
      <c r="MQ11" s="124"/>
      <c r="MR11" s="124"/>
      <c r="MS11" s="124"/>
      <c r="MT11" s="124"/>
      <c r="MU11" s="124"/>
      <c r="MV11" s="124"/>
      <c r="MW11" s="124"/>
      <c r="MX11" s="124"/>
      <c r="MY11" s="124"/>
      <c r="MZ11" s="124"/>
      <c r="NA11" s="124"/>
      <c r="NB11" s="124"/>
      <c r="NC11" s="124"/>
      <c r="ND11" s="124"/>
      <c r="NE11" s="124"/>
      <c r="NF11" s="124"/>
      <c r="NG11" s="124"/>
      <c r="NH11" s="124"/>
      <c r="NI11" s="124"/>
      <c r="NJ11" s="124"/>
      <c r="NK11" s="124"/>
      <c r="NL11" s="124"/>
      <c r="NM11" s="124"/>
      <c r="NN11" s="124"/>
      <c r="NO11" s="124"/>
      <c r="NP11" s="124"/>
      <c r="NQ11" s="124"/>
      <c r="NR11" s="124"/>
      <c r="NS11" s="124"/>
      <c r="NT11" s="124"/>
      <c r="NU11" s="124"/>
      <c r="NV11" s="124"/>
      <c r="NW11" s="124"/>
      <c r="NX11" s="124"/>
      <c r="NY11" s="124"/>
      <c r="NZ11" s="124"/>
      <c r="OA11" s="124"/>
      <c r="OB11" s="124"/>
      <c r="OC11" s="124"/>
      <c r="OD11" s="124"/>
      <c r="OE11" s="124"/>
      <c r="OF11" s="124"/>
      <c r="OG11" s="124"/>
      <c r="OH11" s="124"/>
      <c r="OI11" s="124"/>
      <c r="OJ11" s="124"/>
      <c r="OK11" s="124"/>
      <c r="OL11" s="124"/>
      <c r="OM11" s="124"/>
      <c r="ON11" s="124"/>
      <c r="OO11" s="124"/>
      <c r="OP11" s="90"/>
      <c r="OQ11" s="90"/>
      <c r="OR11" s="90"/>
      <c r="OS11" s="90"/>
      <c r="OT11" s="90"/>
      <c r="OU11" s="90"/>
      <c r="OV11" s="90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VI11"/>
      <c r="VJ11"/>
    </row>
    <row r="12" spans="1:603" x14ac:dyDescent="0.25">
      <c r="KD12" s="90"/>
      <c r="KE12" s="90"/>
      <c r="KF12" s="90"/>
      <c r="KG12" s="90"/>
      <c r="KH12" s="90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32"/>
      <c r="KY12" s="132"/>
      <c r="KZ12" s="132"/>
      <c r="LA12" s="132"/>
      <c r="LB12" s="132"/>
      <c r="LC12" s="132"/>
      <c r="LD12" s="132"/>
      <c r="LE12" s="132"/>
      <c r="LF12" s="132"/>
      <c r="LG12" s="132"/>
      <c r="LH12" s="132"/>
      <c r="LI12" s="132"/>
      <c r="LJ12" s="132"/>
      <c r="LK12" s="132"/>
      <c r="LL12" s="132"/>
      <c r="LM12" s="132"/>
      <c r="LN12" s="132"/>
      <c r="LO12" s="132"/>
      <c r="LP12" s="132"/>
      <c r="LQ12" s="132"/>
      <c r="LR12" s="132"/>
      <c r="LS12" s="132"/>
      <c r="LT12" s="132"/>
      <c r="LU12" s="132"/>
      <c r="LV12" s="132"/>
      <c r="LW12" s="132"/>
      <c r="LX12" s="132"/>
      <c r="LY12" s="132"/>
      <c r="LZ12" s="132"/>
      <c r="MA12" s="132"/>
      <c r="MB12" s="132"/>
      <c r="MC12" s="132"/>
      <c r="MD12" s="132"/>
      <c r="ME12" s="132"/>
      <c r="MF12" s="90"/>
      <c r="MG12" s="90"/>
      <c r="MH12" s="90"/>
      <c r="MI12" s="132"/>
      <c r="MJ12" s="132"/>
      <c r="MK12" s="132"/>
      <c r="ML12" s="132"/>
      <c r="MM12" s="132"/>
      <c r="MN12" s="132"/>
      <c r="MO12" s="132"/>
      <c r="MP12" s="132"/>
      <c r="MQ12" s="132"/>
      <c r="MR12" s="132"/>
      <c r="MS12" s="132"/>
      <c r="MT12" s="132"/>
      <c r="MU12" s="132"/>
      <c r="MV12" s="132"/>
      <c r="MW12" s="132"/>
      <c r="MX12" s="132"/>
      <c r="MY12" s="132"/>
      <c r="MZ12" s="132"/>
      <c r="NA12" s="132"/>
      <c r="NB12" s="132"/>
      <c r="NC12" s="132"/>
      <c r="ND12" s="132"/>
      <c r="NE12" s="132"/>
      <c r="NF12" s="132"/>
      <c r="NG12" s="132"/>
      <c r="NH12" s="132"/>
      <c r="NI12" s="132"/>
      <c r="NJ12" s="132"/>
      <c r="NK12" s="132"/>
      <c r="NL12" s="132"/>
      <c r="NM12" s="132"/>
      <c r="NN12" s="132"/>
      <c r="NO12" s="132"/>
      <c r="NP12" s="132"/>
      <c r="NQ12" s="132"/>
      <c r="NR12" s="132"/>
      <c r="NS12" s="132"/>
      <c r="NT12" s="132"/>
      <c r="NU12" s="132"/>
      <c r="NV12" s="132"/>
      <c r="NW12" s="132"/>
      <c r="NX12" s="132"/>
      <c r="NY12" s="132"/>
      <c r="NZ12" s="132"/>
      <c r="OA12" s="132"/>
      <c r="OB12" s="132"/>
      <c r="OC12" s="132"/>
      <c r="OD12" s="132"/>
      <c r="OE12" s="132"/>
      <c r="OF12" s="132"/>
      <c r="OG12" s="132"/>
      <c r="OH12" s="132"/>
      <c r="OI12" s="132"/>
      <c r="OJ12" s="132"/>
      <c r="OK12" s="132"/>
      <c r="OL12" s="132"/>
      <c r="OM12" s="132"/>
      <c r="ON12" s="132"/>
      <c r="OO12" s="132"/>
      <c r="UU12" s="106"/>
      <c r="UW12" s="90"/>
      <c r="VA12" s="15"/>
    </row>
    <row r="13" spans="1:603" x14ac:dyDescent="0.25">
      <c r="KD13" s="90"/>
      <c r="KE13" s="90"/>
      <c r="KF13" s="90"/>
      <c r="KG13" s="90"/>
      <c r="KH13" s="90"/>
      <c r="KI13" s="90"/>
      <c r="KJ13" s="90"/>
      <c r="KK13" s="90"/>
      <c r="KL13" s="90"/>
      <c r="KM13" s="90"/>
      <c r="KN13" s="90"/>
      <c r="KO13" s="90"/>
      <c r="KP13" s="90"/>
      <c r="KQ13" s="90"/>
      <c r="KR13" s="90"/>
      <c r="KS13" s="90"/>
      <c r="KT13" s="90"/>
      <c r="KU13" s="90"/>
      <c r="KV13" s="90"/>
      <c r="KW13" s="90"/>
      <c r="KX13" s="90"/>
      <c r="KY13" s="90"/>
      <c r="KZ13" s="90"/>
      <c r="LA13" s="90"/>
      <c r="LB13" s="90"/>
      <c r="LC13" s="90"/>
      <c r="LD13" s="90"/>
      <c r="LE13" s="90"/>
      <c r="LF13" s="90"/>
      <c r="LG13" s="90"/>
      <c r="LH13" s="90"/>
      <c r="LI13" s="90"/>
      <c r="LJ13" s="90"/>
      <c r="LK13" s="90"/>
      <c r="LL13" s="90"/>
      <c r="LM13" s="90"/>
      <c r="LN13" s="90"/>
      <c r="LO13" s="90"/>
      <c r="LP13" s="90"/>
      <c r="LQ13" s="90"/>
      <c r="LR13" s="90"/>
      <c r="LS13" s="90"/>
      <c r="LT13" s="90"/>
      <c r="LU13" s="90"/>
      <c r="LV13" s="90"/>
      <c r="LW13" s="90"/>
      <c r="LX13" s="90"/>
      <c r="LY13" s="90"/>
      <c r="LZ13" s="90"/>
      <c r="MA13" s="90"/>
      <c r="MB13" s="90"/>
      <c r="MC13" s="90"/>
      <c r="MD13" s="90"/>
      <c r="ME13" s="90"/>
      <c r="MF13" s="90"/>
      <c r="MG13" s="90"/>
      <c r="MH13" s="90"/>
      <c r="MI13" s="90"/>
      <c r="MJ13" s="90"/>
      <c r="MK13" s="90"/>
      <c r="ML13" s="90"/>
      <c r="MM13" s="90"/>
      <c r="MN13" s="90"/>
      <c r="MO13" s="90"/>
      <c r="MP13" s="90"/>
      <c r="MQ13" s="90"/>
      <c r="MR13" s="90"/>
      <c r="MS13" s="90"/>
      <c r="MT13" s="90"/>
      <c r="MU13" s="90"/>
      <c r="MV13" s="90"/>
      <c r="MW13" s="90"/>
      <c r="MX13" s="90"/>
      <c r="MY13" s="90"/>
      <c r="MZ13" s="90"/>
      <c r="NA13" s="90"/>
      <c r="NB13" s="90"/>
      <c r="NC13" s="90"/>
      <c r="ND13" s="90"/>
      <c r="NE13" s="90"/>
      <c r="NF13" s="90"/>
      <c r="NG13" s="90"/>
      <c r="NH13" s="90"/>
      <c r="NI13" s="90"/>
      <c r="NJ13" s="90"/>
      <c r="NK13" s="90"/>
      <c r="NL13" s="90"/>
      <c r="NM13" s="90"/>
      <c r="NN13" s="90"/>
      <c r="NO13" s="90"/>
      <c r="NP13" s="90"/>
      <c r="NQ13" s="90"/>
      <c r="NR13" s="90"/>
      <c r="NS13" s="90"/>
      <c r="NT13" s="90"/>
      <c r="NU13" s="90"/>
      <c r="NV13" s="90"/>
      <c r="NW13" s="90"/>
      <c r="NX13" s="90"/>
      <c r="NY13" s="90"/>
      <c r="NZ13" s="90"/>
      <c r="OA13" s="90"/>
      <c r="OB13" s="90"/>
      <c r="OC13" s="90"/>
      <c r="OD13" s="90"/>
      <c r="OE13" s="90"/>
      <c r="OF13" s="90"/>
      <c r="OG13" s="90"/>
      <c r="OH13" s="90"/>
      <c r="OI13" s="90"/>
      <c r="OJ13" s="90"/>
      <c r="OK13" s="90"/>
      <c r="OL13" s="90"/>
      <c r="OM13" s="90"/>
      <c r="ON13" s="90"/>
      <c r="OO13" s="90"/>
      <c r="OP13" s="90"/>
      <c r="OQ13" s="90"/>
      <c r="OR13" s="90"/>
      <c r="OS13" s="90"/>
      <c r="OT13" s="90"/>
      <c r="OU13" s="90"/>
      <c r="OV13" s="90"/>
      <c r="UU13" s="106"/>
      <c r="UW13" s="90"/>
      <c r="VA13" s="15"/>
    </row>
    <row r="14" spans="1:603" x14ac:dyDescent="0.25">
      <c r="GG14" s="75" t="s">
        <v>136</v>
      </c>
      <c r="JF14" s="100"/>
      <c r="JG14" s="100"/>
      <c r="JH14" s="100"/>
      <c r="JI14" s="100"/>
      <c r="JJ14" s="100"/>
      <c r="JK14" s="100"/>
      <c r="JL14" s="100"/>
      <c r="JM14" s="100"/>
      <c r="JN14" s="100"/>
      <c r="JO14" s="100"/>
      <c r="JP14" s="100"/>
      <c r="JQ14" s="100"/>
      <c r="JR14" s="100"/>
      <c r="JS14" s="100"/>
      <c r="JT14" s="100"/>
      <c r="JU14" s="100"/>
      <c r="JV14" s="100"/>
      <c r="JW14" s="100"/>
      <c r="JX14" s="100"/>
      <c r="JY14" s="100"/>
      <c r="JZ14" s="100"/>
      <c r="KA14" s="100"/>
      <c r="KB14" s="100"/>
      <c r="KC14" s="100"/>
      <c r="MF14" s="90"/>
      <c r="MG14" s="90"/>
      <c r="MH14" s="90"/>
    </row>
    <row r="15" spans="1:603" x14ac:dyDescent="0.25">
      <c r="S15" t="s">
        <v>137</v>
      </c>
      <c r="GG15" s="86" t="s">
        <v>83</v>
      </c>
      <c r="GH15" s="83" t="s">
        <v>46</v>
      </c>
      <c r="GI15" s="83" t="s">
        <v>48</v>
      </c>
      <c r="GJ15" s="83" t="s">
        <v>50</v>
      </c>
      <c r="GK15" s="83" t="s">
        <v>52</v>
      </c>
      <c r="MF15" s="90"/>
      <c r="MG15" s="90"/>
      <c r="MH15" s="90"/>
    </row>
    <row r="16" spans="1:603" ht="18" customHeight="1" x14ac:dyDescent="0.25">
      <c r="S16" t="s">
        <v>138</v>
      </c>
      <c r="AP16" s="5" t="s">
        <v>44</v>
      </c>
      <c r="AQ16" s="5" t="s">
        <v>45</v>
      </c>
      <c r="AR16" s="12" t="s">
        <v>139</v>
      </c>
      <c r="AS16" s="6" t="s">
        <v>78</v>
      </c>
      <c r="AT16" s="6" t="s">
        <v>140</v>
      </c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84"/>
      <c r="FG16" s="84"/>
      <c r="FH16" s="84"/>
      <c r="FI16" s="84"/>
      <c r="FJ16" s="84"/>
      <c r="FK16" s="84"/>
      <c r="FL16" s="84"/>
      <c r="FM16" s="84"/>
      <c r="FN16" s="84"/>
      <c r="FO16" s="84"/>
      <c r="FP16" s="84"/>
      <c r="FQ16" s="84"/>
      <c r="FR16" s="84"/>
      <c r="FS16" s="84"/>
      <c r="FT16" s="84"/>
      <c r="FU16" s="84"/>
      <c r="FV16" s="84"/>
      <c r="FW16" s="84"/>
      <c r="FX16" s="84"/>
      <c r="FY16" s="84"/>
      <c r="FZ16" s="84"/>
      <c r="GA16" s="84"/>
      <c r="GB16" s="84"/>
      <c r="GC16" s="84"/>
      <c r="GD16" s="84"/>
      <c r="GE16" s="84"/>
      <c r="GF16" s="84"/>
      <c r="GG16" s="92">
        <f>FZ1</f>
        <v>43773</v>
      </c>
      <c r="GH16" s="10">
        <v>7445</v>
      </c>
      <c r="GI16" s="10">
        <f>9099-GK16-(2000*0.125*0)</f>
        <v>7704</v>
      </c>
      <c r="GJ16" s="7">
        <v>12652</v>
      </c>
      <c r="GK16" s="10">
        <v>1395</v>
      </c>
      <c r="GL16" s="84"/>
      <c r="GM16" s="84"/>
      <c r="GN16" s="84"/>
      <c r="GO16" s="84"/>
      <c r="GP16" s="84"/>
      <c r="GQ16" s="84"/>
      <c r="GR16" s="84"/>
      <c r="GS16" s="84"/>
      <c r="GT16" s="84"/>
      <c r="GU16" s="84"/>
      <c r="GV16" s="84"/>
      <c r="GW16" s="84"/>
      <c r="GX16" s="84"/>
      <c r="GY16" s="84"/>
      <c r="GZ16" s="84"/>
      <c r="HA16" s="84"/>
      <c r="HB16" s="84"/>
      <c r="HC16" s="84"/>
      <c r="HD16" s="84"/>
      <c r="HE16" s="84"/>
      <c r="HF16" s="84"/>
      <c r="HG16" s="84"/>
      <c r="HH16" s="84"/>
      <c r="HI16" s="84"/>
      <c r="HJ16" s="84"/>
      <c r="HK16" s="84"/>
      <c r="HL16" s="84"/>
      <c r="HM16" s="84"/>
      <c r="HN16" s="84"/>
      <c r="HO16" s="84"/>
      <c r="HP16" s="84"/>
      <c r="HQ16" s="84"/>
      <c r="HR16" s="84"/>
      <c r="HS16" s="84"/>
      <c r="HT16" s="84"/>
      <c r="HU16" s="84"/>
      <c r="HV16" s="84"/>
      <c r="HW16" s="84"/>
      <c r="HX16" s="84"/>
      <c r="HY16" s="84"/>
      <c r="HZ16" s="84"/>
      <c r="IA16" s="84"/>
      <c r="IB16" s="84"/>
      <c r="IC16" s="84"/>
      <c r="ID16" s="84"/>
      <c r="IE16" s="84"/>
      <c r="IF16" s="84"/>
      <c r="IG16" s="84"/>
      <c r="IH16" s="84"/>
      <c r="II16" s="84"/>
      <c r="IJ16" s="84"/>
      <c r="IK16" s="84"/>
      <c r="IL16" s="84"/>
      <c r="IM16" s="84"/>
      <c r="IN16" s="84"/>
      <c r="IO16" s="84"/>
      <c r="IP16" s="84"/>
      <c r="IQ16" s="84"/>
      <c r="IR16" s="84"/>
      <c r="IS16" s="84"/>
      <c r="IT16" s="84"/>
      <c r="IU16" s="84"/>
      <c r="IV16" s="84"/>
      <c r="IW16" s="84"/>
      <c r="IX16" s="84"/>
      <c r="IY16" s="84"/>
      <c r="IZ16" s="84"/>
      <c r="JA16" s="84"/>
      <c r="JB16" s="84"/>
      <c r="JC16" s="84"/>
      <c r="JD16" s="84"/>
      <c r="JE16" s="84"/>
      <c r="JF16" s="84"/>
      <c r="JG16" s="84"/>
      <c r="JH16" s="84"/>
      <c r="JI16" s="84"/>
      <c r="JJ16" s="84"/>
      <c r="JK16" s="84"/>
      <c r="JL16" s="84"/>
      <c r="JM16" s="84"/>
      <c r="JN16" s="84"/>
      <c r="JO16" s="84"/>
      <c r="JP16" s="84"/>
      <c r="JQ16" s="84"/>
      <c r="JR16" s="84"/>
      <c r="JS16" s="84"/>
      <c r="JT16" s="84"/>
      <c r="JU16" s="84"/>
      <c r="JV16" s="84"/>
      <c r="JW16" s="84"/>
      <c r="JX16" s="84"/>
      <c r="JY16" s="84"/>
      <c r="JZ16" s="84"/>
      <c r="KA16" s="84"/>
      <c r="KB16" s="84"/>
      <c r="KC16" s="84"/>
      <c r="MF16" s="90"/>
      <c r="MG16" s="90"/>
      <c r="MH16" s="90"/>
    </row>
    <row r="17" spans="1:567" ht="18" customHeight="1" x14ac:dyDescent="0.35">
      <c r="A17" s="5" t="s">
        <v>44</v>
      </c>
      <c r="B17" s="5" t="s">
        <v>95</v>
      </c>
      <c r="C17" s="5" t="s">
        <v>96</v>
      </c>
      <c r="D17" s="11">
        <v>43111</v>
      </c>
      <c r="E17" s="11">
        <v>43231</v>
      </c>
      <c r="F17" s="5"/>
      <c r="G17" s="5" t="s">
        <v>45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6" t="s">
        <v>46</v>
      </c>
      <c r="AQ17" s="7" t="s">
        <v>141</v>
      </c>
      <c r="AR17" s="13">
        <v>5877</v>
      </c>
      <c r="AS17" s="14">
        <v>0.65300000000000002</v>
      </c>
      <c r="AT17" s="13">
        <v>2223</v>
      </c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92">
        <f>GA1</f>
        <v>43775</v>
      </c>
      <c r="GH17" s="10">
        <v>7515</v>
      </c>
      <c r="GI17" s="10">
        <f>9099-GK17-(2000*0.125*0)</f>
        <v>7704</v>
      </c>
      <c r="GJ17" s="7">
        <v>12799</v>
      </c>
      <c r="GK17" s="10">
        <v>1395</v>
      </c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6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N17" s="131"/>
      <c r="KO17" s="131"/>
      <c r="KP17" s="131"/>
      <c r="KQ17" s="131"/>
      <c r="KR17" s="131"/>
      <c r="KS17" s="131"/>
      <c r="KT17" s="131"/>
      <c r="KU17" s="131"/>
      <c r="KV17" s="131"/>
      <c r="KW17" s="131"/>
      <c r="KX17" s="131"/>
      <c r="KY17" s="131"/>
      <c r="KZ17" s="131"/>
      <c r="LA17" s="131"/>
      <c r="LB17" s="131"/>
      <c r="LC17" s="131"/>
      <c r="LD17" s="131"/>
      <c r="LE17" s="131"/>
      <c r="LF17" s="131"/>
      <c r="LG17" s="131"/>
      <c r="LH17" s="131"/>
      <c r="LI17" s="131"/>
      <c r="LJ17" s="131"/>
      <c r="LK17" s="131"/>
      <c r="LL17" s="131"/>
      <c r="LM17" s="131"/>
      <c r="LN17" s="131"/>
      <c r="LO17" s="131"/>
      <c r="LP17" s="131"/>
      <c r="LQ17" s="131"/>
      <c r="LR17" s="131"/>
      <c r="LS17" s="131"/>
      <c r="LT17" s="131"/>
      <c r="LU17" s="131"/>
      <c r="LV17" s="131"/>
      <c r="LW17" s="131"/>
      <c r="LX17" s="131"/>
      <c r="LY17" s="131"/>
      <c r="LZ17" s="131"/>
      <c r="MA17" s="131"/>
      <c r="MB17" s="131"/>
      <c r="MC17" s="131"/>
      <c r="MD17" s="131"/>
      <c r="ME17" s="131"/>
      <c r="MF17" s="90"/>
      <c r="MG17" s="90"/>
      <c r="MH17" s="90"/>
      <c r="MI17" s="131"/>
      <c r="MJ17" s="131"/>
      <c r="MK17" s="131"/>
      <c r="ML17" s="131"/>
      <c r="MM17" s="131"/>
      <c r="MN17" s="131"/>
      <c r="MO17" s="131"/>
      <c r="MP17" s="131"/>
      <c r="MQ17" s="131"/>
      <c r="MR17" s="131"/>
      <c r="MS17" s="131"/>
      <c r="MT17" s="131"/>
      <c r="MU17" s="131"/>
      <c r="MV17" s="131"/>
      <c r="MW17" s="131"/>
      <c r="MX17" s="131"/>
      <c r="MY17" s="131"/>
      <c r="MZ17" s="131"/>
      <c r="NA17" s="131"/>
      <c r="NB17" s="131"/>
      <c r="NC17" s="131"/>
      <c r="ND17" s="131"/>
      <c r="NE17" s="131"/>
      <c r="NF17" s="131"/>
      <c r="NG17" s="131"/>
      <c r="NH17" s="131"/>
      <c r="NI17" s="131"/>
      <c r="NJ17" s="131"/>
      <c r="NK17" s="131"/>
      <c r="NL17" s="131"/>
      <c r="NM17" s="131"/>
      <c r="NN17" s="131"/>
      <c r="NO17" s="131"/>
      <c r="NP17" s="131"/>
      <c r="NQ17" s="131"/>
      <c r="NR17" s="131"/>
      <c r="NS17" s="131"/>
      <c r="NT17" s="131"/>
      <c r="NU17" s="131"/>
      <c r="NV17" s="131"/>
      <c r="NW17" s="131"/>
      <c r="NX17" s="131"/>
      <c r="NY17" s="140"/>
      <c r="NZ17" s="140"/>
      <c r="OA17" s="140"/>
      <c r="OB17" s="140"/>
      <c r="OC17" s="140"/>
      <c r="OD17" s="140"/>
      <c r="OE17" s="140"/>
      <c r="OF17" s="140"/>
      <c r="OG17" s="140"/>
      <c r="OH17" s="140"/>
      <c r="OI17" s="140"/>
      <c r="OJ17" s="140"/>
      <c r="OK17" s="140"/>
      <c r="OL17" s="140"/>
      <c r="OM17" s="140"/>
      <c r="ON17" s="140"/>
      <c r="OO17" s="140"/>
    </row>
    <row r="18" spans="1:567" x14ac:dyDescent="0.25">
      <c r="A18" s="6" t="s">
        <v>46</v>
      </c>
      <c r="B18" s="9">
        <f t="shared" ref="B18:E22" si="4">D2/$G18</f>
        <v>0.76688888888888884</v>
      </c>
      <c r="C18" s="9">
        <f t="shared" si="4"/>
        <v>0.76966666666666672</v>
      </c>
      <c r="D18" s="9">
        <f t="shared" si="4"/>
        <v>0.80266666666666664</v>
      </c>
      <c r="E18" s="9">
        <f t="shared" si="4"/>
        <v>0.81222222222222218</v>
      </c>
      <c r="F18" s="8" t="s">
        <v>47</v>
      </c>
      <c r="G18" s="7">
        <v>9000</v>
      </c>
      <c r="AP18" s="6" t="s">
        <v>48</v>
      </c>
      <c r="AQ18" s="7" t="s">
        <v>142</v>
      </c>
      <c r="AR18" s="13">
        <v>8507</v>
      </c>
      <c r="AS18" s="14">
        <v>1</v>
      </c>
      <c r="AT18" s="13">
        <v>0</v>
      </c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92">
        <f>GB1</f>
        <v>43776</v>
      </c>
      <c r="GH18" s="10">
        <v>7756</v>
      </c>
      <c r="GI18" s="10">
        <f>9334-GK18-(2000*0.125*0)</f>
        <v>7956</v>
      </c>
      <c r="GJ18" s="7">
        <v>13085</v>
      </c>
      <c r="GK18" s="10">
        <v>1378</v>
      </c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6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N18" s="131"/>
      <c r="KO18" s="131"/>
      <c r="KP18" s="131"/>
      <c r="KQ18" s="131"/>
      <c r="KR18" s="131"/>
      <c r="KS18" s="131"/>
      <c r="KT18" s="131"/>
      <c r="KU18" s="131"/>
      <c r="KV18" s="131"/>
      <c r="KW18" s="131"/>
      <c r="KX18" s="131"/>
      <c r="KY18" s="131"/>
      <c r="KZ18" s="131"/>
      <c r="LA18" s="131"/>
      <c r="LB18" s="131"/>
      <c r="LC18" s="131"/>
      <c r="LD18" s="131"/>
      <c r="LE18" s="131"/>
      <c r="LF18" s="131"/>
      <c r="LG18" s="131"/>
      <c r="LH18" s="131"/>
      <c r="LI18" s="131"/>
      <c r="LJ18" s="131"/>
      <c r="LK18" s="131"/>
      <c r="LL18" s="131"/>
      <c r="LM18" s="131"/>
      <c r="LN18" s="131"/>
      <c r="LO18" s="131"/>
      <c r="LP18" s="131"/>
      <c r="LQ18" s="131"/>
      <c r="LR18" s="131"/>
      <c r="LS18" s="131"/>
      <c r="LT18" s="131"/>
      <c r="LU18" s="131"/>
      <c r="LV18" s="131"/>
      <c r="LW18" s="131"/>
      <c r="LX18" s="131"/>
      <c r="LY18" s="131"/>
      <c r="LZ18" s="131"/>
      <c r="MA18" s="131"/>
      <c r="MB18" s="131"/>
      <c r="MC18" s="131"/>
      <c r="MD18" s="131"/>
      <c r="ME18" s="131"/>
      <c r="MF18" s="90"/>
      <c r="MG18" s="90"/>
      <c r="MH18" s="90"/>
      <c r="MI18" s="131"/>
      <c r="MJ18" s="131"/>
      <c r="MK18" s="131"/>
      <c r="ML18" s="131"/>
      <c r="MM18" s="131"/>
      <c r="MN18" s="131"/>
      <c r="MO18" s="131"/>
      <c r="MP18" s="131"/>
      <c r="MQ18" s="131"/>
      <c r="MR18" s="131"/>
      <c r="MS18" s="131"/>
      <c r="MT18" s="131"/>
      <c r="MU18" s="131"/>
      <c r="MV18" s="131"/>
      <c r="MW18" s="131"/>
      <c r="MX18" s="131"/>
      <c r="MY18" s="131"/>
      <c r="MZ18" s="131"/>
      <c r="NA18" s="131"/>
      <c r="NB18" s="131"/>
      <c r="NC18" s="131"/>
      <c r="ND18" s="131"/>
      <c r="NE18" s="131"/>
      <c r="NF18" s="131"/>
      <c r="NG18" s="131"/>
      <c r="NH18" s="131"/>
      <c r="NI18" s="131"/>
      <c r="NJ18" s="131"/>
      <c r="NK18" s="131"/>
      <c r="NL18" s="131"/>
      <c r="NM18" s="131"/>
      <c r="NN18" s="131"/>
      <c r="NO18" s="131"/>
      <c r="NP18" s="131"/>
      <c r="NQ18" s="131"/>
      <c r="NR18" s="131"/>
      <c r="NS18" s="131"/>
      <c r="NT18" s="131"/>
      <c r="NU18" s="131"/>
      <c r="NV18" s="131"/>
      <c r="NW18" s="131"/>
      <c r="NX18" s="131"/>
      <c r="NY18" s="141"/>
      <c r="NZ18" s="141"/>
      <c r="OA18" s="141"/>
      <c r="OB18" s="141"/>
      <c r="OC18" s="141"/>
      <c r="OD18" s="141"/>
      <c r="OE18" s="141"/>
      <c r="OF18" s="141"/>
      <c r="OG18" s="141"/>
      <c r="OH18" s="141"/>
      <c r="OI18" s="141"/>
      <c r="OJ18" s="141"/>
      <c r="OK18" s="141"/>
      <c r="OL18" s="141"/>
      <c r="OM18" s="141"/>
      <c r="ON18" s="141"/>
      <c r="OO18" s="141"/>
    </row>
    <row r="19" spans="1:567" x14ac:dyDescent="0.25">
      <c r="A19" s="6" t="s">
        <v>48</v>
      </c>
      <c r="B19" s="9">
        <f t="shared" si="4"/>
        <v>0.75937500000000002</v>
      </c>
      <c r="C19" s="9">
        <f t="shared" si="4"/>
        <v>0.75937500000000002</v>
      </c>
      <c r="D19" s="9">
        <f t="shared" si="4"/>
        <v>0.75937500000000002</v>
      </c>
      <c r="E19" s="9">
        <f t="shared" si="4"/>
        <v>0.75937500000000002</v>
      </c>
      <c r="F19" s="8" t="s">
        <v>47</v>
      </c>
      <c r="G19" s="7">
        <v>8000</v>
      </c>
      <c r="AP19" s="6" t="s">
        <v>50</v>
      </c>
      <c r="AQ19" s="7" t="s">
        <v>143</v>
      </c>
      <c r="AR19" s="13">
        <v>11682</v>
      </c>
      <c r="AS19" s="14">
        <v>0.64900000000000002</v>
      </c>
      <c r="AT19" s="13">
        <v>4518</v>
      </c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93">
        <f>GC1</f>
        <v>43780</v>
      </c>
      <c r="GH19" s="10">
        <v>7299</v>
      </c>
      <c r="GI19" s="10">
        <f>9133-GK19-(2000*0.125*0)</f>
        <v>7666</v>
      </c>
      <c r="GJ19" s="7">
        <v>14114</v>
      </c>
      <c r="GK19" s="10">
        <v>1467</v>
      </c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6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G19" s="16"/>
      <c r="KH19" s="16"/>
      <c r="KI19" s="16"/>
      <c r="KJ19" s="16"/>
      <c r="KK19" s="16"/>
      <c r="KL19" s="16"/>
      <c r="KM19" s="16"/>
      <c r="KN19" s="16"/>
      <c r="KO19" s="16"/>
      <c r="KP19" s="16"/>
      <c r="KQ19" s="16"/>
      <c r="KR19" s="16"/>
      <c r="KS19" s="16"/>
      <c r="KT19" s="16"/>
      <c r="KU19" s="16"/>
      <c r="KV19" s="16"/>
      <c r="KW19" s="16"/>
      <c r="KX19" s="16"/>
      <c r="KY19" s="16"/>
      <c r="KZ19" s="16"/>
      <c r="LA19" s="16"/>
      <c r="LB19" s="16"/>
      <c r="LC19" s="16"/>
      <c r="LD19" s="16"/>
      <c r="LE19" s="16"/>
      <c r="LF19" s="16"/>
      <c r="LG19" s="16"/>
      <c r="LH19" s="16"/>
      <c r="LI19" s="16"/>
      <c r="LJ19" s="16"/>
      <c r="LK19" s="16"/>
      <c r="LL19" s="16"/>
      <c r="LM19" s="16"/>
      <c r="LN19" s="16"/>
      <c r="LO19" s="16"/>
      <c r="LP19" s="16"/>
      <c r="LQ19" s="16"/>
      <c r="LR19" s="16"/>
      <c r="LS19" s="16"/>
      <c r="LT19" s="16"/>
      <c r="LU19" s="16"/>
      <c r="LV19" s="16"/>
      <c r="LW19" s="16"/>
      <c r="LX19" s="16"/>
      <c r="LY19" s="16"/>
      <c r="LZ19" s="16"/>
      <c r="MA19" s="16"/>
      <c r="MB19" s="16"/>
      <c r="MC19" s="16"/>
      <c r="MD19" s="16"/>
      <c r="ME19" s="16"/>
      <c r="MF19" s="90"/>
      <c r="MG19" s="90"/>
      <c r="MH19" s="90"/>
      <c r="MI19" s="16"/>
      <c r="MJ19" s="16"/>
      <c r="MK19" s="16"/>
      <c r="ML19" s="16"/>
      <c r="MM19" s="16"/>
      <c r="MN19" s="16"/>
      <c r="MO19" s="16"/>
      <c r="MP19" s="16"/>
      <c r="MQ19" s="16"/>
      <c r="MR19" s="16"/>
      <c r="MS19" s="16"/>
      <c r="MT19" s="16"/>
      <c r="MU19" s="16"/>
      <c r="MV19" s="16"/>
      <c r="MW19" s="16"/>
      <c r="MX19" s="16"/>
      <c r="MY19" s="16"/>
      <c r="MZ19" s="16"/>
      <c r="NA19" s="16"/>
      <c r="NB19" s="16"/>
      <c r="NC19" s="16"/>
      <c r="ND19" s="16"/>
      <c r="NE19" s="16"/>
      <c r="NF19" s="16"/>
      <c r="NG19" s="16"/>
      <c r="NH19" s="16"/>
      <c r="NI19" s="16"/>
      <c r="NJ19" s="16"/>
      <c r="NK19" s="16"/>
      <c r="NL19" s="16"/>
      <c r="NM19" s="16"/>
      <c r="NN19" s="16"/>
      <c r="NO19" s="16"/>
      <c r="NP19" s="16"/>
      <c r="NQ19" s="16"/>
      <c r="NR19" s="16"/>
      <c r="NS19" s="16"/>
      <c r="NT19" s="16"/>
      <c r="NU19" s="16"/>
      <c r="NV19" s="16"/>
      <c r="NW19" s="16"/>
      <c r="NX19" s="16"/>
      <c r="NY19" s="142"/>
      <c r="NZ19" s="142"/>
      <c r="OA19" s="142"/>
      <c r="OB19" s="142"/>
      <c r="OC19" s="142"/>
      <c r="OD19" s="142"/>
      <c r="OE19" s="142"/>
      <c r="OF19" s="142"/>
      <c r="OG19" s="142"/>
      <c r="OH19" s="142"/>
      <c r="OI19" s="142"/>
      <c r="OJ19" s="142"/>
      <c r="OK19" s="142"/>
      <c r="OL19" s="142"/>
      <c r="OM19" s="142"/>
      <c r="ON19" s="142"/>
      <c r="OO19" s="142"/>
      <c r="OP19" s="16"/>
      <c r="OQ19" s="16"/>
      <c r="OR19" s="16"/>
      <c r="OS19" s="16"/>
      <c r="OT19" s="16"/>
      <c r="OU19" s="16"/>
      <c r="OV19" s="16"/>
    </row>
    <row r="20" spans="1:567" x14ac:dyDescent="0.25">
      <c r="A20" s="6" t="s">
        <v>50</v>
      </c>
      <c r="B20" s="9">
        <f t="shared" si="4"/>
        <v>0.74357723577235768</v>
      </c>
      <c r="C20" s="9">
        <f t="shared" si="4"/>
        <v>0.7455284552845528</v>
      </c>
      <c r="D20" s="9">
        <f t="shared" si="4"/>
        <v>0.74292682926829268</v>
      </c>
      <c r="E20" s="9">
        <f t="shared" si="4"/>
        <v>0.73569105691056913</v>
      </c>
      <c r="F20" s="8" t="s">
        <v>47</v>
      </c>
      <c r="G20" s="7">
        <v>12300</v>
      </c>
      <c r="AP20" s="6" t="s">
        <v>52</v>
      </c>
      <c r="AQ20" s="7" t="s">
        <v>144</v>
      </c>
      <c r="AR20" s="13">
        <v>1090</v>
      </c>
      <c r="AS20" s="14">
        <v>0.54500000000000004</v>
      </c>
      <c r="AT20" s="13">
        <v>710</v>
      </c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>
        <f>65000*0.9</f>
        <v>58500</v>
      </c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93">
        <f>GD1</f>
        <v>43782</v>
      </c>
      <c r="GH20" s="10">
        <v>7327</v>
      </c>
      <c r="GI20" s="10">
        <f>9022-GK20-(2000*0.125*0)</f>
        <v>7646</v>
      </c>
      <c r="GJ20" s="7">
        <v>14359</v>
      </c>
      <c r="GK20" s="10">
        <v>1376</v>
      </c>
      <c r="MF20" s="90"/>
      <c r="MG20" s="90"/>
      <c r="MH20" s="90"/>
      <c r="UU20" s="111" t="s">
        <v>76</v>
      </c>
    </row>
    <row r="21" spans="1:567" x14ac:dyDescent="0.25">
      <c r="A21" s="6" t="s">
        <v>52</v>
      </c>
      <c r="B21" s="9">
        <f t="shared" si="4"/>
        <v>0.375</v>
      </c>
      <c r="C21" s="9">
        <f t="shared" si="4"/>
        <v>0.39500000000000002</v>
      </c>
      <c r="D21" s="9">
        <f t="shared" si="4"/>
        <v>0.36449999999999999</v>
      </c>
      <c r="E21" s="9">
        <f t="shared" si="4"/>
        <v>0.36</v>
      </c>
      <c r="F21" s="8" t="s">
        <v>47</v>
      </c>
      <c r="G21" s="7">
        <v>2000</v>
      </c>
      <c r="AP21" s="6" t="s">
        <v>54</v>
      </c>
      <c r="AQ21" s="7" t="s">
        <v>145</v>
      </c>
      <c r="AR21" s="13">
        <v>60500</v>
      </c>
      <c r="AS21" s="14">
        <v>0.93076923076923079</v>
      </c>
      <c r="AT21" s="13">
        <v>4500</v>
      </c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93">
        <f>GE1</f>
        <v>43783</v>
      </c>
      <c r="GH21" s="10">
        <v>7345</v>
      </c>
      <c r="GI21" s="10">
        <f>8977-GK21-(2000*0.125*0)</f>
        <v>7584</v>
      </c>
      <c r="GJ21" s="7">
        <v>14506</v>
      </c>
      <c r="GK21" s="10">
        <v>1393</v>
      </c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6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</row>
    <row r="22" spans="1:567" x14ac:dyDescent="0.25">
      <c r="A22" s="6" t="s">
        <v>54</v>
      </c>
      <c r="B22" s="9">
        <f t="shared" si="4"/>
        <v>0.92307692307692313</v>
      </c>
      <c r="C22" s="9">
        <f t="shared" si="4"/>
        <v>0.92307692307692313</v>
      </c>
      <c r="D22" s="9">
        <f t="shared" si="4"/>
        <v>0.92307692307692313</v>
      </c>
      <c r="E22" s="9">
        <f t="shared" si="4"/>
        <v>0.92307692307692313</v>
      </c>
      <c r="F22" s="8" t="s">
        <v>55</v>
      </c>
      <c r="G22" s="7">
        <v>65000</v>
      </c>
      <c r="GG22" s="93">
        <f>GF1</f>
        <v>43784</v>
      </c>
      <c r="GH22" s="10">
        <v>7415</v>
      </c>
      <c r="GI22" s="10">
        <f>8984-GK22-(2000*0.125*0)</f>
        <v>7624</v>
      </c>
      <c r="GJ22" s="7">
        <v>14436</v>
      </c>
      <c r="GK22" s="10">
        <v>1360</v>
      </c>
    </row>
    <row r="23" spans="1:567" x14ac:dyDescent="0.25">
      <c r="GG23" s="94">
        <f>GG1</f>
        <v>43787</v>
      </c>
      <c r="GH23" s="10">
        <v>6915</v>
      </c>
      <c r="GI23" s="10">
        <f>9052-GK23-(2000*0.125*0)</f>
        <v>7639</v>
      </c>
      <c r="GJ23" s="7">
        <v>14550</v>
      </c>
      <c r="GK23" s="10">
        <v>1413</v>
      </c>
    </row>
    <row r="24" spans="1:567" x14ac:dyDescent="0.25">
      <c r="GG24" s="94">
        <f>GH1</f>
        <v>43790</v>
      </c>
      <c r="GH24" s="10">
        <v>7132</v>
      </c>
      <c r="GI24" s="10">
        <f>9210-GK24-(2000*0.125*0)</f>
        <v>7888</v>
      </c>
      <c r="GJ24" s="7">
        <v>14372</v>
      </c>
      <c r="GK24" s="10">
        <v>1322</v>
      </c>
    </row>
    <row r="25" spans="1:567" x14ac:dyDescent="0.25">
      <c r="GG25" s="94">
        <f>GI1</f>
        <v>43791</v>
      </c>
      <c r="GH25" s="10">
        <v>7246</v>
      </c>
      <c r="GI25" s="10">
        <f>9315-GK25-(2000*0.125*0)</f>
        <v>7993</v>
      </c>
      <c r="GJ25" s="7">
        <v>14259</v>
      </c>
      <c r="GK25" s="10">
        <v>1322</v>
      </c>
      <c r="GL25" t="s">
        <v>76</v>
      </c>
    </row>
    <row r="26" spans="1:567" x14ac:dyDescent="0.25">
      <c r="GG26" s="94">
        <f>GJ1</f>
        <v>43794</v>
      </c>
      <c r="GH26" s="10">
        <v>7205</v>
      </c>
      <c r="GI26" s="10">
        <f>9086-GK26-(2000*0.125*0)</f>
        <v>7764</v>
      </c>
      <c r="GJ26" s="7">
        <v>13268</v>
      </c>
      <c r="GK26" s="10">
        <v>1322</v>
      </c>
    </row>
    <row r="27" spans="1:567" x14ac:dyDescent="0.25">
      <c r="GG27" s="94">
        <f>GK1</f>
        <v>43795</v>
      </c>
      <c r="GH27" s="10">
        <v>7180</v>
      </c>
      <c r="GI27" s="10">
        <f>9075-GK27-(2000*0.125*0)</f>
        <v>7789</v>
      </c>
      <c r="GJ27" s="7">
        <v>13083</v>
      </c>
      <c r="GK27" s="10">
        <v>1286</v>
      </c>
    </row>
    <row r="28" spans="1:567" x14ac:dyDescent="0.25">
      <c r="GG28" s="94">
        <f>$GL$1</f>
        <v>43799</v>
      </c>
      <c r="GH28" s="10">
        <v>7226</v>
      </c>
      <c r="GI28" s="10">
        <f>9497-GK28-(2000*0.125*0)</f>
        <v>7983</v>
      </c>
      <c r="GJ28" s="7">
        <v>13316</v>
      </c>
      <c r="GK28" s="10">
        <v>1514</v>
      </c>
    </row>
    <row r="29" spans="1:567" x14ac:dyDescent="0.25">
      <c r="GG29" s="94"/>
      <c r="GH29" s="10"/>
      <c r="GI29" s="10"/>
      <c r="GJ29" s="7"/>
      <c r="GK29" s="10"/>
    </row>
    <row r="30" spans="1:567" x14ac:dyDescent="0.25">
      <c r="GG30" s="94">
        <f>$GM$1</f>
        <v>43802</v>
      </c>
      <c r="GH30" s="10">
        <v>7171</v>
      </c>
      <c r="GI30" s="10">
        <f>8848-GK30-(2000*0.125*0)</f>
        <v>7337</v>
      </c>
      <c r="GJ30" s="7">
        <v>13276</v>
      </c>
      <c r="GK30" s="10">
        <v>1511</v>
      </c>
      <c r="UT30" s="54"/>
    </row>
    <row r="31" spans="1:567" x14ac:dyDescent="0.25">
      <c r="GG31" s="163"/>
      <c r="GH31" s="122"/>
      <c r="GI31" s="122"/>
      <c r="GK31" s="122"/>
      <c r="UT31" s="54"/>
    </row>
    <row r="32" spans="1:567" x14ac:dyDescent="0.25">
      <c r="GG32" s="163"/>
      <c r="GH32" s="122"/>
      <c r="GI32" s="122"/>
      <c r="GK32" s="122"/>
      <c r="UT32" s="54"/>
    </row>
    <row r="33" spans="189:566" x14ac:dyDescent="0.25">
      <c r="GG33" s="163"/>
      <c r="GH33" s="122"/>
      <c r="GI33" s="122"/>
      <c r="GK33" s="122"/>
      <c r="UT33" s="54"/>
    </row>
    <row r="34" spans="189:566" x14ac:dyDescent="0.25">
      <c r="GG34" s="163"/>
      <c r="GH34" s="122"/>
      <c r="GI34" s="122"/>
      <c r="GK34" s="122"/>
      <c r="UT34" s="54"/>
    </row>
    <row r="35" spans="189:566" x14ac:dyDescent="0.25">
      <c r="GG35" s="163"/>
      <c r="GH35" s="122"/>
      <c r="GI35" s="122"/>
      <c r="GK35" s="122"/>
      <c r="UT35" s="54"/>
    </row>
    <row r="36" spans="189:566" x14ac:dyDescent="0.25">
      <c r="GG36" s="163"/>
      <c r="GH36" s="122"/>
      <c r="GI36" s="122"/>
      <c r="GK36" s="122"/>
      <c r="UT36" s="54"/>
    </row>
    <row r="37" spans="189:566" x14ac:dyDescent="0.25">
      <c r="GG37" s="163"/>
      <c r="GH37" s="122"/>
      <c r="GI37" s="122"/>
      <c r="GK37" s="122"/>
      <c r="UT37" s="54"/>
    </row>
    <row r="38" spans="189:566" x14ac:dyDescent="0.25">
      <c r="GG38" s="163"/>
      <c r="GH38" s="122"/>
      <c r="GI38" s="122"/>
      <c r="GK38" s="122"/>
      <c r="UT38" s="54"/>
    </row>
    <row r="39" spans="189:566" x14ac:dyDescent="0.25">
      <c r="GG39" s="163"/>
      <c r="GH39" s="122"/>
      <c r="GI39" s="122"/>
      <c r="GK39" s="122"/>
      <c r="UT39" s="54"/>
    </row>
    <row r="40" spans="189:566" x14ac:dyDescent="0.25">
      <c r="GG40" s="163"/>
      <c r="GH40" s="122"/>
      <c r="GI40" s="122"/>
      <c r="GK40" s="122"/>
      <c r="UT40" s="54"/>
    </row>
    <row r="41" spans="189:566" x14ac:dyDescent="0.25">
      <c r="GG41" s="163"/>
      <c r="GH41" s="122"/>
      <c r="GI41" s="122"/>
      <c r="GK41" s="122"/>
      <c r="UT41" s="54"/>
    </row>
    <row r="42" spans="189:566" ht="23.25" x14ac:dyDescent="0.25">
      <c r="GG42" s="163"/>
      <c r="GH42" s="122"/>
      <c r="GI42" s="122"/>
      <c r="GK42" s="122"/>
      <c r="UT42" s="91" t="s">
        <v>146</v>
      </c>
    </row>
    <row r="43" spans="189:566" x14ac:dyDescent="0.25">
      <c r="GG43" s="163"/>
      <c r="GH43" s="122"/>
      <c r="GI43" s="122"/>
      <c r="GK43" s="122"/>
      <c r="UT43" s="54"/>
    </row>
    <row r="44" spans="189:566" x14ac:dyDescent="0.25">
      <c r="GG44" s="163"/>
      <c r="GH44" s="122"/>
      <c r="GI44" s="122"/>
      <c r="GK44" s="122"/>
      <c r="UT44" s="54"/>
    </row>
    <row r="45" spans="189:566" x14ac:dyDescent="0.25">
      <c r="GG45" s="163"/>
      <c r="GH45" s="122"/>
      <c r="GI45" s="122"/>
      <c r="GK45" s="122"/>
      <c r="UT45" s="54"/>
    </row>
    <row r="46" spans="189:566" x14ac:dyDescent="0.25">
      <c r="GG46" s="163"/>
      <c r="GH46" s="122"/>
      <c r="GI46" s="122"/>
      <c r="GK46" s="122"/>
      <c r="UT46" s="54"/>
    </row>
    <row r="47" spans="189:566" x14ac:dyDescent="0.25">
      <c r="GG47" s="163"/>
      <c r="GH47" s="122"/>
      <c r="GI47" s="122"/>
      <c r="GK47" s="122"/>
      <c r="UT47" s="54"/>
    </row>
    <row r="48" spans="189:566" x14ac:dyDescent="0.25">
      <c r="GG48" s="163"/>
      <c r="GH48" s="122"/>
      <c r="GI48" s="122"/>
      <c r="GK48" s="122"/>
      <c r="UT48" s="54"/>
    </row>
    <row r="49" spans="189:597" x14ac:dyDescent="0.25">
      <c r="GG49" s="163"/>
      <c r="GH49" s="122"/>
      <c r="GI49" s="122"/>
      <c r="GK49" s="122"/>
      <c r="UT49" s="54"/>
    </row>
    <row r="50" spans="189:597" x14ac:dyDescent="0.25">
      <c r="GG50" s="163"/>
      <c r="GH50" s="122"/>
      <c r="GI50" s="122"/>
      <c r="GK50" s="122"/>
      <c r="UT50" s="54"/>
    </row>
    <row r="51" spans="189:597" x14ac:dyDescent="0.25">
      <c r="GG51" s="163"/>
      <c r="GH51" s="122"/>
      <c r="GI51" s="122"/>
      <c r="GK51" s="122"/>
      <c r="UT51" s="54"/>
    </row>
    <row r="52" spans="189:597" x14ac:dyDescent="0.25">
      <c r="GG52" s="163"/>
      <c r="GH52" s="122"/>
      <c r="GI52" s="122"/>
      <c r="GK52" s="122"/>
      <c r="UT52" s="54"/>
    </row>
    <row r="53" spans="189:597" ht="15" customHeight="1" x14ac:dyDescent="0.25">
      <c r="VR53" s="50"/>
      <c r="VS53" s="50"/>
      <c r="VT53" s="50"/>
      <c r="VU53" s="50"/>
    </row>
    <row r="54" spans="189:597" ht="40.5" customHeight="1" x14ac:dyDescent="0.25">
      <c r="UT54" s="91"/>
      <c r="VR54" s="50"/>
      <c r="VS54" s="50"/>
      <c r="VT54" s="50"/>
      <c r="VU54" s="50"/>
    </row>
    <row r="55" spans="189:597" ht="40.5" customHeight="1" x14ac:dyDescent="0.25">
      <c r="VR55" s="50"/>
      <c r="VS55" s="50"/>
      <c r="VT55" s="50"/>
      <c r="VU55" s="50"/>
    </row>
    <row r="56" spans="189:597" ht="47.25" customHeight="1" thickBot="1" x14ac:dyDescent="0.3">
      <c r="UT56" s="75" t="s">
        <v>151</v>
      </c>
      <c r="VA56" s="471"/>
      <c r="VB56" s="471"/>
    </row>
    <row r="57" spans="189:597" ht="29.25" customHeight="1" thickBot="1" x14ac:dyDescent="0.3">
      <c r="UT57" s="164"/>
      <c r="UU57" s="193">
        <f>UW57-UW59</f>
        <v>4741.2816526999986</v>
      </c>
      <c r="UV57" s="193">
        <f>UV59-UY59</f>
        <v>5558.7183473000014</v>
      </c>
      <c r="UW57" s="193">
        <f>UV59-UX57</f>
        <v>9579</v>
      </c>
      <c r="UX57" s="193">
        <f>UX59-UW59</f>
        <v>721</v>
      </c>
      <c r="UY57" s="134"/>
      <c r="UZ57" s="472" t="s">
        <v>154</v>
      </c>
      <c r="VA57" s="473"/>
      <c r="VB57" s="187"/>
    </row>
    <row r="58" spans="189:597" ht="30.75" thickBot="1" x14ac:dyDescent="0.3">
      <c r="UT58" s="162" t="s">
        <v>155</v>
      </c>
      <c r="UU58" s="162" t="s">
        <v>156</v>
      </c>
      <c r="UV58" s="162" t="s">
        <v>157</v>
      </c>
      <c r="UW58" s="150" t="s">
        <v>451</v>
      </c>
      <c r="UX58" s="150" t="s">
        <v>270</v>
      </c>
      <c r="UY58" s="150" t="s">
        <v>161</v>
      </c>
      <c r="UZ58" s="162" t="s">
        <v>89</v>
      </c>
      <c r="VA58" s="150" t="s">
        <v>90</v>
      </c>
      <c r="VB58" s="70" t="s">
        <v>452</v>
      </c>
      <c r="VG58" s="50"/>
      <c r="VH58" s="50"/>
      <c r="VL58"/>
      <c r="VN58" s="88" t="s">
        <v>155</v>
      </c>
      <c r="VO58" s="88" t="s">
        <v>89</v>
      </c>
      <c r="VP58" s="150" t="s">
        <v>90</v>
      </c>
    </row>
    <row r="59" spans="189:597" ht="24.95" customHeight="1" thickBot="1" x14ac:dyDescent="0.3">
      <c r="SJ59" s="134"/>
      <c r="ST59" s="134">
        <f>UV61*7%</f>
        <v>717.50000000000011</v>
      </c>
      <c r="SV59" s="134"/>
      <c r="SW59" s="134"/>
      <c r="SX59" s="134"/>
      <c r="SY59" s="134"/>
      <c r="SZ59" s="134"/>
      <c r="TA59" s="134"/>
      <c r="TB59" s="134"/>
      <c r="TC59" s="134"/>
      <c r="TD59" s="134"/>
      <c r="TE59" s="134"/>
      <c r="TF59" s="134"/>
      <c r="TG59" s="134"/>
      <c r="TH59" s="134"/>
      <c r="TI59" s="134"/>
      <c r="TJ59" s="134"/>
      <c r="TK59" s="134"/>
      <c r="TL59" s="134"/>
      <c r="TM59" s="134"/>
      <c r="TN59" s="134"/>
      <c r="TO59" s="134"/>
      <c r="TP59" s="134"/>
      <c r="TQ59" s="134"/>
      <c r="TR59" s="134"/>
      <c r="TS59" s="134"/>
      <c r="TT59" s="134"/>
      <c r="TU59" s="134"/>
      <c r="TV59" s="134"/>
      <c r="TW59" s="134"/>
      <c r="TX59" s="134"/>
      <c r="TY59" s="134"/>
      <c r="TZ59" s="134"/>
      <c r="UA59" s="134"/>
      <c r="UB59" s="134"/>
      <c r="UC59" s="134"/>
      <c r="UD59" s="134"/>
      <c r="UE59" s="134"/>
      <c r="UF59" s="134"/>
      <c r="UG59" s="134"/>
      <c r="UH59" s="134"/>
      <c r="UI59" s="134"/>
      <c r="UJ59" s="134"/>
      <c r="UK59" s="134"/>
      <c r="UL59" s="134"/>
      <c r="UM59" s="134"/>
      <c r="UN59" s="134"/>
      <c r="UO59" s="134"/>
      <c r="UP59" s="134"/>
      <c r="UQ59" s="134"/>
      <c r="UR59" s="134"/>
      <c r="US59" s="134"/>
      <c r="UT59" s="160" t="s">
        <v>63</v>
      </c>
      <c r="UU59" s="159" t="str">
        <f>VB2</f>
        <v>CBM</v>
      </c>
      <c r="UV59" s="167">
        <f>VC2</f>
        <v>10300</v>
      </c>
      <c r="UW59" s="167">
        <f>'All WH'!AIL58</f>
        <v>4837.7183473000014</v>
      </c>
      <c r="UX59" s="271">
        <f>IF(UW59&lt;UV59,(UV59-UY59),UW59)</f>
        <v>5558.7183473000014</v>
      </c>
      <c r="UY59" s="158">
        <f>'All WH'!AIO58</f>
        <v>4741.2816526999986</v>
      </c>
      <c r="UZ59" s="168">
        <f>'All WH'!AIP58</f>
        <v>453919.42379947525</v>
      </c>
      <c r="VA59" s="171">
        <f>'All WH'!AIQ58</f>
        <v>82855.840029150801</v>
      </c>
      <c r="VB59" s="70"/>
      <c r="VD59" s="71"/>
      <c r="VG59" s="50"/>
      <c r="VH59" s="50"/>
      <c r="VI59" s="147"/>
      <c r="VJ59" s="147"/>
      <c r="VL59"/>
      <c r="VN59" s="151" t="s">
        <v>63</v>
      </c>
      <c r="VO59" s="154">
        <v>2920</v>
      </c>
      <c r="VP59" s="157">
        <v>533</v>
      </c>
    </row>
    <row r="60" spans="189:597" ht="30.75" thickBot="1" x14ac:dyDescent="0.3">
      <c r="SJ60" s="134"/>
      <c r="ST60" s="134"/>
      <c r="SV60" s="134"/>
      <c r="SW60" s="134"/>
      <c r="SX60" s="134"/>
      <c r="SY60" s="134"/>
      <c r="SZ60" s="134"/>
      <c r="TA60" s="134"/>
      <c r="TB60" s="134"/>
      <c r="TC60" s="134"/>
      <c r="TD60" s="134"/>
      <c r="TE60" s="134"/>
      <c r="TF60" s="134"/>
      <c r="TG60" s="134"/>
      <c r="TH60" s="134"/>
      <c r="TI60" s="134"/>
      <c r="TJ60" s="134"/>
      <c r="TK60" s="134"/>
      <c r="TL60" s="134"/>
      <c r="TM60" s="134"/>
      <c r="TN60" s="134"/>
      <c r="TO60" s="134"/>
      <c r="TP60" s="134"/>
      <c r="TQ60" s="134"/>
      <c r="TR60" s="134"/>
      <c r="TS60" s="134"/>
      <c r="TT60" s="134"/>
      <c r="TU60" s="134"/>
      <c r="TV60" s="134"/>
      <c r="TW60" s="134"/>
      <c r="TX60" s="134"/>
      <c r="TY60" s="134"/>
      <c r="TZ60" s="134"/>
      <c r="UA60" s="134"/>
      <c r="UB60" s="134"/>
      <c r="UC60" s="134"/>
      <c r="UD60" s="134"/>
      <c r="UE60" s="134"/>
      <c r="UF60" s="134"/>
      <c r="UG60" s="134"/>
      <c r="UH60" s="134"/>
      <c r="UI60" s="134"/>
      <c r="UJ60" s="134"/>
      <c r="UK60" s="134"/>
      <c r="UL60" s="134"/>
      <c r="UM60" s="134"/>
      <c r="UN60" s="134"/>
      <c r="UO60" s="134"/>
      <c r="UP60" s="134"/>
      <c r="UQ60" s="134"/>
      <c r="UR60" s="134"/>
      <c r="US60" s="134"/>
      <c r="UT60" s="160" t="s">
        <v>68</v>
      </c>
      <c r="UU60" s="159" t="str">
        <f>VB3</f>
        <v>CBM</v>
      </c>
      <c r="UV60" s="167">
        <f>'All WH'!AIK90</f>
        <v>100</v>
      </c>
      <c r="UW60" s="167">
        <f>'All WH'!AIL59</f>
        <v>36.439366699999859</v>
      </c>
      <c r="UX60" s="271">
        <f>IF(UW60&lt;UV60,(UV60-UY60),UW60)</f>
        <v>39.439366699999859</v>
      </c>
      <c r="UY60" s="158">
        <f>'All WH'!AIO59</f>
        <v>60.560633300000141</v>
      </c>
      <c r="UZ60" s="168">
        <f>'All WH'!AIP59</f>
        <v>5797.9360405246034</v>
      </c>
      <c r="VA60" s="171">
        <f>'All WH'!AIQ59</f>
        <v>1058.3218868491829</v>
      </c>
      <c r="VB60" s="70"/>
      <c r="VD60" s="71"/>
      <c r="VG60" s="50"/>
      <c r="VH60" s="50"/>
      <c r="VI60" s="147"/>
      <c r="VJ60" s="147"/>
      <c r="VL60"/>
      <c r="VN60" s="151"/>
      <c r="VO60" s="276"/>
      <c r="VP60" s="37"/>
    </row>
    <row r="61" spans="189:597" ht="23.45" customHeight="1" thickBot="1" x14ac:dyDescent="0.3">
      <c r="SJ61" s="134"/>
      <c r="SV61" s="134"/>
      <c r="SW61" s="134"/>
      <c r="SX61" s="134"/>
      <c r="SY61" s="134"/>
      <c r="SZ61" s="134"/>
      <c r="TA61" s="134"/>
      <c r="TB61" s="134"/>
      <c r="TC61" s="134"/>
      <c r="TD61" s="134"/>
      <c r="TE61" s="134"/>
      <c r="TF61" s="134"/>
      <c r="TG61" s="134"/>
      <c r="TH61" s="134"/>
      <c r="TI61" s="134"/>
      <c r="TJ61" s="134"/>
      <c r="TK61" s="134"/>
      <c r="TL61" s="134"/>
      <c r="TM61" s="134"/>
      <c r="TN61" s="134"/>
      <c r="TO61" s="134"/>
      <c r="TP61" s="134"/>
      <c r="TQ61" s="134"/>
      <c r="TR61" s="134"/>
      <c r="TS61" s="134"/>
      <c r="TT61" s="134"/>
      <c r="TU61" s="134"/>
      <c r="TV61" s="134"/>
      <c r="TW61" s="134"/>
      <c r="TX61" s="134"/>
      <c r="TY61" s="134"/>
      <c r="TZ61" s="134"/>
      <c r="UA61" s="134"/>
      <c r="UB61" s="134"/>
      <c r="UC61" s="134"/>
      <c r="UD61" s="134"/>
      <c r="UE61" s="134"/>
      <c r="UF61" s="134"/>
      <c r="UG61" s="134"/>
      <c r="UH61" s="134"/>
      <c r="UI61" s="134"/>
      <c r="UJ61" s="134"/>
      <c r="UK61" s="134"/>
      <c r="UL61" s="134"/>
      <c r="UM61" s="134"/>
      <c r="UN61" s="134"/>
      <c r="UO61" s="134"/>
      <c r="UP61" s="134"/>
      <c r="UQ61" s="134"/>
      <c r="UR61" s="134"/>
      <c r="US61" s="134"/>
      <c r="UT61" s="160" t="s">
        <v>64</v>
      </c>
      <c r="UU61" s="159" t="str">
        <f t="shared" ref="UU61:UV63" si="5">VB3</f>
        <v>CBM</v>
      </c>
      <c r="UV61" s="167">
        <f t="shared" si="5"/>
        <v>10250</v>
      </c>
      <c r="UW61" s="167">
        <f>'All WH'!AIL60</f>
        <v>6155.6408999999994</v>
      </c>
      <c r="UX61" s="271">
        <f>IF(UW61&lt;UV61,(UV61-UY61),UW61)</f>
        <v>6463.1408999999994</v>
      </c>
      <c r="UY61" s="158">
        <f>'All WH'!AIO60</f>
        <v>3786.8591000000006</v>
      </c>
      <c r="UZ61" s="168">
        <f>'All WH'!AIP60</f>
        <v>309405.0123672132</v>
      </c>
      <c r="VA61" s="171">
        <f>'All WH'!AIQ60</f>
        <v>76978.775147541004</v>
      </c>
      <c r="VB61" s="134"/>
      <c r="VG61" s="50"/>
      <c r="VH61" s="50"/>
      <c r="VI61" s="147"/>
      <c r="VJ61" s="147"/>
      <c r="VL61"/>
      <c r="VN61" s="152" t="s">
        <v>64</v>
      </c>
      <c r="VO61" s="155">
        <v>2492</v>
      </c>
      <c r="VP61" s="35">
        <v>620</v>
      </c>
    </row>
    <row r="62" spans="189:597" ht="30.6" customHeight="1" thickBot="1" x14ac:dyDescent="0.3">
      <c r="SJ62" s="134">
        <f>9500*7/100</f>
        <v>665</v>
      </c>
      <c r="SV62" s="134"/>
      <c r="SW62" s="134"/>
      <c r="SX62" s="134"/>
      <c r="SY62" s="134"/>
      <c r="SZ62" s="134"/>
      <c r="TA62" s="134"/>
      <c r="TB62" s="134"/>
      <c r="TC62" s="134"/>
      <c r="TD62" s="134"/>
      <c r="TE62" s="134"/>
      <c r="TF62" s="134"/>
      <c r="TG62" s="134"/>
      <c r="TH62" s="134"/>
      <c r="TI62" s="134"/>
      <c r="TJ62" s="134"/>
      <c r="TK62" s="134"/>
      <c r="TL62" s="134"/>
      <c r="TM62" s="134"/>
      <c r="TN62" s="134"/>
      <c r="TO62" s="134"/>
      <c r="TP62" s="134"/>
      <c r="TQ62" s="134"/>
      <c r="TR62" s="134"/>
      <c r="TS62" s="134"/>
      <c r="TT62" s="134"/>
      <c r="TU62" s="134"/>
      <c r="TV62" s="134"/>
      <c r="TW62" s="134"/>
      <c r="TX62" s="134"/>
      <c r="TY62" s="134"/>
      <c r="TZ62" s="134"/>
      <c r="UA62" s="134"/>
      <c r="UB62" s="134"/>
      <c r="UC62" s="134"/>
      <c r="UD62" s="134"/>
      <c r="UE62" s="134"/>
      <c r="UF62" s="134"/>
      <c r="UG62" s="134"/>
      <c r="UH62" s="134"/>
      <c r="UI62" s="134"/>
      <c r="UJ62" s="134"/>
      <c r="UK62" s="134"/>
      <c r="UL62" s="134"/>
      <c r="UM62" s="134"/>
      <c r="UN62" s="134"/>
      <c r="UO62" s="134"/>
      <c r="UP62" s="134"/>
      <c r="UQ62" s="134"/>
      <c r="UR62" s="134"/>
      <c r="US62" s="134"/>
      <c r="UT62" s="160" t="s">
        <v>65</v>
      </c>
      <c r="UU62" s="159" t="str">
        <f t="shared" si="5"/>
        <v>CBM</v>
      </c>
      <c r="UV62" s="167">
        <f t="shared" si="5"/>
        <v>21000</v>
      </c>
      <c r="UW62" s="167">
        <f>'All WH'!AIL61</f>
        <v>8773.6718999999994</v>
      </c>
      <c r="UX62" s="271">
        <f>IF(UW62&lt;UV62,(UV62-UY62),UW62)</f>
        <v>9403.6718999999994</v>
      </c>
      <c r="UY62" s="158">
        <f>'All WH'!AIO61</f>
        <v>11596.328100000001</v>
      </c>
      <c r="UZ62" s="168">
        <f>'All WH'!AIP61</f>
        <v>1237195.135652459</v>
      </c>
      <c r="VA62" s="171">
        <f>'All WH'!AIQ61</f>
        <v>279832.70431475411</v>
      </c>
      <c r="VB62" s="70"/>
      <c r="VG62" s="50"/>
      <c r="VH62" s="50"/>
      <c r="VI62" s="147"/>
      <c r="VJ62" s="147"/>
      <c r="VL62"/>
      <c r="VN62" s="152" t="s">
        <v>65</v>
      </c>
      <c r="VO62" s="155">
        <v>3254</v>
      </c>
      <c r="VP62" s="35">
        <v>736</v>
      </c>
      <c r="VR62" s="115" t="s">
        <v>165</v>
      </c>
      <c r="VS62" s="116" t="s">
        <v>166</v>
      </c>
      <c r="VT62" t="s">
        <v>167</v>
      </c>
      <c r="VU62" s="117" t="s">
        <v>168</v>
      </c>
      <c r="VV62" s="73" t="s">
        <v>169</v>
      </c>
      <c r="VW62" s="29"/>
      <c r="VY62" s="3" t="s">
        <v>170</v>
      </c>
    </row>
    <row r="63" spans="189:597" ht="19.5" customHeight="1" thickBot="1" x14ac:dyDescent="0.3">
      <c r="SJ63" s="134">
        <f>18000*7%</f>
        <v>1260.0000000000002</v>
      </c>
      <c r="SV63" s="134"/>
      <c r="SW63" s="134"/>
      <c r="SX63" s="134"/>
      <c r="SY63" s="134"/>
      <c r="SZ63" s="134"/>
      <c r="TA63" s="134"/>
      <c r="TB63" s="134"/>
      <c r="TC63" s="134"/>
      <c r="TD63" s="134"/>
      <c r="TE63" s="134"/>
      <c r="TF63" s="134"/>
      <c r="TG63" s="134"/>
      <c r="TH63" s="134"/>
      <c r="TI63" s="134"/>
      <c r="TJ63" s="134"/>
      <c r="TK63" s="134"/>
      <c r="TL63" s="134"/>
      <c r="TM63" s="134"/>
      <c r="TN63" s="134"/>
      <c r="TO63" s="134"/>
      <c r="TP63" s="134"/>
      <c r="TQ63" s="134"/>
      <c r="TR63" s="134"/>
      <c r="TS63" s="134"/>
      <c r="TT63" s="134"/>
      <c r="TU63" s="134"/>
      <c r="TV63" s="134"/>
      <c r="TW63" s="134"/>
      <c r="TX63" s="134"/>
      <c r="TY63" s="134"/>
      <c r="TZ63" s="134"/>
      <c r="UA63" s="134"/>
      <c r="UB63" s="134"/>
      <c r="UC63" s="134"/>
      <c r="UD63" s="134"/>
      <c r="UE63" s="134"/>
      <c r="UF63" s="134"/>
      <c r="UG63" s="134"/>
      <c r="UH63" s="134"/>
      <c r="UI63" s="134"/>
      <c r="UJ63" s="134"/>
      <c r="UK63" s="134"/>
      <c r="UL63" s="134"/>
      <c r="UM63" s="134"/>
      <c r="UN63" s="134"/>
      <c r="UO63" s="134"/>
      <c r="UP63" s="134"/>
      <c r="UQ63" s="134"/>
      <c r="UR63" s="134"/>
      <c r="US63" s="134"/>
      <c r="UT63" s="160" t="s">
        <v>73</v>
      </c>
      <c r="UU63" s="159" t="str">
        <f t="shared" si="5"/>
        <v>CBM</v>
      </c>
      <c r="UV63" s="167">
        <f t="shared" si="5"/>
        <v>7500</v>
      </c>
      <c r="UW63" s="167">
        <f>'All WH'!AIL64</f>
        <v>7676.0394999999999</v>
      </c>
      <c r="UX63" s="271">
        <f>IF(UW63&lt;UV63,(UV63-UY63),UW63)</f>
        <v>7676.0394999999999</v>
      </c>
      <c r="UY63" s="158" t="str">
        <f>'All WH'!AIO64</f>
        <v>0</v>
      </c>
      <c r="UZ63" s="168">
        <f>'All WH'!AIP64</f>
        <v>0</v>
      </c>
      <c r="VA63" s="171">
        <f>'All WH'!AIQ64</f>
        <v>0</v>
      </c>
      <c r="VG63" s="50"/>
      <c r="VH63" s="50"/>
      <c r="VI63" s="147"/>
      <c r="VJ63" s="147"/>
      <c r="VL63"/>
      <c r="VN63" s="153" t="s">
        <v>73</v>
      </c>
      <c r="VO63" s="156">
        <v>3002</v>
      </c>
      <c r="VP63" s="36">
        <v>707</v>
      </c>
      <c r="VR63">
        <v>4306</v>
      </c>
      <c r="VS63" s="7">
        <v>4276</v>
      </c>
      <c r="VT63">
        <f>VR63-VS63</f>
        <v>30</v>
      </c>
      <c r="VU63" s="74">
        <f>UX59/VS63</f>
        <v>1.299980904420019</v>
      </c>
      <c r="VV63">
        <v>1.43</v>
      </c>
      <c r="VW63" s="74">
        <f>VU63-VV63</f>
        <v>-0.13001909557998093</v>
      </c>
      <c r="VX63" s="118"/>
      <c r="VY63">
        <f>VT63*VV63</f>
        <v>42.9</v>
      </c>
    </row>
    <row r="64" spans="189:597" ht="15.75" thickBot="1" x14ac:dyDescent="0.3">
      <c r="SJ64" s="134"/>
      <c r="UT64" s="161" t="s">
        <v>171</v>
      </c>
      <c r="UU64" s="170"/>
      <c r="UV64" s="170">
        <f t="shared" ref="UV64:VA64" si="6">SUM(UV59:UV63)</f>
        <v>49150</v>
      </c>
      <c r="UW64" s="170">
        <f t="shared" si="6"/>
        <v>27479.510014</v>
      </c>
      <c r="UX64" s="170">
        <f t="shared" si="6"/>
        <v>29141.010014</v>
      </c>
      <c r="UY64" s="170">
        <f t="shared" si="6"/>
        <v>20185.029485999999</v>
      </c>
      <c r="UZ64" s="188">
        <f t="shared" si="6"/>
        <v>2006317.507859672</v>
      </c>
      <c r="VA64" s="189">
        <f t="shared" si="6"/>
        <v>440725.64137829508</v>
      </c>
      <c r="VG64" s="50"/>
      <c r="VH64" s="50"/>
      <c r="VL64"/>
      <c r="VS64" s="7"/>
      <c r="VU64" s="74"/>
      <c r="VW64" s="74"/>
      <c r="VX64" s="118"/>
    </row>
    <row r="65" spans="504:598" ht="15.75" thickBot="1" x14ac:dyDescent="0.3">
      <c r="SJ65" s="134"/>
      <c r="UT65" s="228"/>
      <c r="UU65" s="230"/>
      <c r="UV65" s="230"/>
      <c r="UW65" s="230"/>
      <c r="UX65" s="230"/>
      <c r="UY65" s="230"/>
      <c r="UZ65" s="231"/>
      <c r="VA65" s="231"/>
      <c r="VG65" s="50"/>
      <c r="VH65" s="50"/>
      <c r="VL65"/>
      <c r="VU65" s="74"/>
      <c r="VW65" s="74"/>
      <c r="VX65" s="118"/>
    </row>
    <row r="66" spans="504:598" ht="45.75" thickBot="1" x14ac:dyDescent="0.3">
      <c r="UT66" s="160" t="s">
        <v>66</v>
      </c>
      <c r="UU66" s="159" t="s">
        <v>47</v>
      </c>
      <c r="UV66" s="237">
        <f>'All WH'!AIK94</f>
        <v>1700</v>
      </c>
      <c r="UW66" s="237">
        <f>'All WH'!AIL94</f>
        <v>0</v>
      </c>
      <c r="UX66" s="271">
        <f>IF(UW66&lt;UV66,(UV66-UY66),UW66)</f>
        <v>51</v>
      </c>
      <c r="UY66" s="243">
        <f>'All WH'!AIO62</f>
        <v>1649</v>
      </c>
      <c r="UZ66" s="243"/>
      <c r="VA66" s="134">
        <v>0</v>
      </c>
      <c r="VB66" s="134"/>
      <c r="VT66" s="7"/>
      <c r="VV66" s="74"/>
      <c r="VX66" s="74"/>
      <c r="VY66" s="118"/>
    </row>
    <row r="67" spans="504:598" ht="45.75" thickBot="1" x14ac:dyDescent="0.3">
      <c r="UT67" s="160" t="s">
        <v>67</v>
      </c>
      <c r="UU67" s="159" t="s">
        <v>47</v>
      </c>
      <c r="UV67" s="237">
        <f>'All WH'!AIK95</f>
        <v>4300</v>
      </c>
      <c r="UW67" s="237">
        <f>'All WH'!AIL95</f>
        <v>3114.8409999999999</v>
      </c>
      <c r="UX67" s="271">
        <f>IF(UW67&lt;UV67,(UV67-UY67),UW67)</f>
        <v>3243.8409999999999</v>
      </c>
      <c r="UY67" s="243">
        <f>'All WH'!AIO63</f>
        <v>1056.1590000000001</v>
      </c>
      <c r="UZ67" s="243"/>
      <c r="VA67" s="134"/>
      <c r="VB67" s="134"/>
      <c r="VT67" s="7"/>
      <c r="VV67" s="74"/>
      <c r="VX67" s="74"/>
      <c r="VY67" s="118"/>
    </row>
    <row r="68" spans="504:598" x14ac:dyDescent="0.25">
      <c r="UT68" s="215"/>
      <c r="UU68" s="234"/>
      <c r="UV68" s="235"/>
      <c r="UW68" s="235"/>
      <c r="UX68" s="235"/>
      <c r="UY68" s="235"/>
      <c r="UZ68" s="235"/>
      <c r="VA68" s="134"/>
      <c r="VB68" s="134"/>
      <c r="VT68" s="7"/>
      <c r="VV68" s="74"/>
      <c r="VX68" s="74"/>
      <c r="VY68" s="118"/>
    </row>
    <row r="69" spans="504:598" ht="15.75" thickBot="1" x14ac:dyDescent="0.3">
      <c r="UT69" s="507" t="s">
        <v>146</v>
      </c>
      <c r="UU69" s="477"/>
      <c r="UV69" s="477"/>
      <c r="UW69" s="477"/>
      <c r="UX69" s="477"/>
      <c r="UY69" s="477"/>
      <c r="UZ69" s="477"/>
      <c r="VA69" s="134"/>
      <c r="VB69" s="134"/>
      <c r="VC69" s="71"/>
      <c r="VT69" s="7"/>
      <c r="VV69" s="74"/>
      <c r="VX69" s="74"/>
      <c r="VY69" s="118"/>
    </row>
    <row r="70" spans="504:598" ht="30.75" thickBot="1" x14ac:dyDescent="0.3">
      <c r="UT70" s="166" t="s">
        <v>155</v>
      </c>
      <c r="UU70" s="166" t="s">
        <v>156</v>
      </c>
      <c r="UV70" s="166" t="s">
        <v>157</v>
      </c>
      <c r="UW70" s="166" t="s">
        <v>158</v>
      </c>
      <c r="UX70" s="166" t="s">
        <v>159</v>
      </c>
      <c r="UY70" s="134"/>
      <c r="UZ70" s="134"/>
      <c r="VA70" s="122"/>
      <c r="VB70" s="134"/>
      <c r="VC70" s="71"/>
      <c r="VS70">
        <f>2882-VS74</f>
        <v>2437</v>
      </c>
      <c r="VT70" s="7">
        <v>2354</v>
      </c>
      <c r="VU70">
        <v>0</v>
      </c>
      <c r="VV70" s="74">
        <f>UX61/VT70</f>
        <v>2.7455993627867459</v>
      </c>
      <c r="VW70">
        <v>3.17</v>
      </c>
      <c r="VX70" s="74">
        <f>VV70-VW70</f>
        <v>-0.42440063721325405</v>
      </c>
      <c r="VZ70">
        <f>VU70*VW70</f>
        <v>0</v>
      </c>
    </row>
    <row r="71" spans="504:598" ht="15.75" thickBot="1" x14ac:dyDescent="0.3">
      <c r="UT71" s="178" t="s">
        <v>81</v>
      </c>
      <c r="UU71" s="478" t="str">
        <f>VB6</f>
        <v>No of pallets</v>
      </c>
      <c r="UV71" s="479">
        <v>10131</v>
      </c>
      <c r="UW71" s="201">
        <f>'All WH'!AIL69</f>
        <v>8238</v>
      </c>
      <c r="UX71" s="179">
        <v>0</v>
      </c>
      <c r="UY71" s="134"/>
      <c r="UZ71" s="134"/>
      <c r="VA71" s="134"/>
      <c r="VB71" s="134"/>
      <c r="VC71" s="71"/>
      <c r="VR71" s="70"/>
      <c r="VS71">
        <v>7124</v>
      </c>
      <c r="VT71" s="7">
        <v>4309</v>
      </c>
      <c r="VU71">
        <f>VS71-VT71</f>
        <v>2815</v>
      </c>
      <c r="VV71" s="74">
        <f>UX62/VT71</f>
        <v>2.1823327686238105</v>
      </c>
      <c r="VW71">
        <v>2.2599999999999998</v>
      </c>
      <c r="VX71" s="74">
        <f>VV71-VW71</f>
        <v>-7.766723137618925E-2</v>
      </c>
      <c r="VZ71">
        <f>VU71*VW71</f>
        <v>6361.9</v>
      </c>
    </row>
    <row r="72" spans="504:598" ht="45.75" thickBot="1" x14ac:dyDescent="0.3">
      <c r="UT72" s="180" t="s">
        <v>173</v>
      </c>
      <c r="UU72" s="478"/>
      <c r="UV72" s="479"/>
      <c r="UW72" s="201">
        <f>'All WH'!AIL70</f>
        <v>931</v>
      </c>
      <c r="UX72" s="179">
        <v>0</v>
      </c>
      <c r="UY72" s="134"/>
      <c r="UZ72" s="134"/>
      <c r="VA72" s="134"/>
      <c r="VB72" s="134"/>
      <c r="VC72" s="71"/>
      <c r="VR72" s="70"/>
      <c r="VT72" s="7"/>
      <c r="VV72" s="74"/>
      <c r="VX72" s="74"/>
    </row>
    <row r="73" spans="504:598" ht="15.75" thickBot="1" x14ac:dyDescent="0.3">
      <c r="UT73" s="181" t="s">
        <v>174</v>
      </c>
      <c r="UU73" s="182" t="str">
        <f>VB6</f>
        <v>No of pallets</v>
      </c>
      <c r="UV73" s="183">
        <v>10131</v>
      </c>
      <c r="UW73" s="201">
        <f>SUM(UW71:UW72)</f>
        <v>9169</v>
      </c>
      <c r="UX73" s="179">
        <f>UV73-UW73</f>
        <v>962</v>
      </c>
      <c r="UY73" s="134"/>
      <c r="UZ73" s="134"/>
      <c r="VA73" s="134"/>
      <c r="VB73" s="134"/>
      <c r="VC73" s="71"/>
      <c r="VR73" s="70"/>
      <c r="VT73" s="7"/>
      <c r="VV73" s="74"/>
      <c r="VX73" s="74"/>
    </row>
    <row r="74" spans="504:598" ht="15.75" thickBot="1" x14ac:dyDescent="0.3">
      <c r="UT74" s="184" t="s">
        <v>82</v>
      </c>
      <c r="UU74" s="182" t="str">
        <f>VB7</f>
        <v>No of pallets</v>
      </c>
      <c r="UV74" s="185">
        <v>1500</v>
      </c>
      <c r="UW74" s="201">
        <f>'All WH'!AIL72</f>
        <v>861</v>
      </c>
      <c r="UX74" s="179">
        <f>IF(UW74&gt;UV74,0,(UV74-UW74))</f>
        <v>639</v>
      </c>
      <c r="UY74" s="172"/>
      <c r="UZ74" s="134"/>
      <c r="VC74" s="71"/>
      <c r="VS74">
        <v>445</v>
      </c>
      <c r="VT74" s="7">
        <v>309</v>
      </c>
      <c r="VU74" s="50">
        <f>VS74-VT74</f>
        <v>136</v>
      </c>
      <c r="VV74" s="74" t="e">
        <f>#REF!/VT74</f>
        <v>#REF!</v>
      </c>
      <c r="VW74">
        <v>3.17</v>
      </c>
      <c r="VX74" s="74" t="e">
        <f>VV74-VW74</f>
        <v>#REF!</v>
      </c>
      <c r="VY74" s="50"/>
      <c r="VZ74" s="50">
        <f>VU74*VW74</f>
        <v>431.12</v>
      </c>
    </row>
    <row r="75" spans="504:598" x14ac:dyDescent="0.25">
      <c r="VC75" s="71"/>
    </row>
    <row r="76" spans="504:598" x14ac:dyDescent="0.25">
      <c r="UX76" s="71"/>
      <c r="VC76" s="80"/>
    </row>
    <row r="77" spans="504:598" x14ac:dyDescent="0.25">
      <c r="UT77" s="148"/>
      <c r="UX77" s="71"/>
    </row>
    <row r="78" spans="504:598" x14ac:dyDescent="0.25">
      <c r="UT78" s="148"/>
      <c r="UX78" s="139"/>
    </row>
    <row r="79" spans="504:598" x14ac:dyDescent="0.25">
      <c r="UW79" s="71"/>
      <c r="VA79" s="71"/>
    </row>
    <row r="80" spans="504:598" x14ac:dyDescent="0.25">
      <c r="VA80" s="71"/>
    </row>
    <row r="81" spans="566:586" x14ac:dyDescent="0.25">
      <c r="UY81" s="137"/>
    </row>
    <row r="82" spans="566:586" ht="21.75" customHeight="1" x14ac:dyDescent="0.25">
      <c r="UT82" s="149" t="s">
        <v>179</v>
      </c>
      <c r="UX82" s="135"/>
      <c r="UY82" s="137"/>
      <c r="VA82" s="138"/>
    </row>
    <row r="83" spans="566:586" ht="8.25" customHeight="1" x14ac:dyDescent="0.25">
      <c r="UX83" s="136"/>
      <c r="VA83" s="80"/>
    </row>
    <row r="84" spans="566:586" x14ac:dyDescent="0.25">
      <c r="UT84" s="75"/>
      <c r="VA84" s="471"/>
      <c r="VB84" s="471"/>
    </row>
    <row r="85" spans="566:586" x14ac:dyDescent="0.25">
      <c r="UX85" s="136"/>
      <c r="VA85" s="80"/>
    </row>
    <row r="86" spans="566:586" x14ac:dyDescent="0.25">
      <c r="UX86" s="136"/>
      <c r="VA86" s="80"/>
    </row>
    <row r="87" spans="566:586" x14ac:dyDescent="0.25">
      <c r="UX87" s="136"/>
      <c r="VA87" s="80"/>
    </row>
    <row r="89" spans="566:586" x14ac:dyDescent="0.25">
      <c r="VM89" s="50">
        <v>300</v>
      </c>
      <c r="VN89" s="52" t="s">
        <v>453</v>
      </c>
    </row>
    <row r="93" spans="566:586" x14ac:dyDescent="0.25">
      <c r="VG93" s="53"/>
      <c r="VH93" s="53"/>
    </row>
    <row r="96" spans="566:586" x14ac:dyDescent="0.25">
      <c r="UX96" s="79"/>
    </row>
    <row r="98" spans="566:571" x14ac:dyDescent="0.25">
      <c r="UT98" s="15" t="s">
        <v>454</v>
      </c>
      <c r="UX98" s="62"/>
    </row>
    <row r="99" spans="566:571" x14ac:dyDescent="0.25">
      <c r="UT99" t="s">
        <v>201</v>
      </c>
    </row>
    <row r="100" spans="566:571" ht="15.75" thickBot="1" x14ac:dyDescent="0.3">
      <c r="UT100" s="15" t="s">
        <v>202</v>
      </c>
      <c r="UU100" s="112"/>
      <c r="UV100" s="63"/>
      <c r="UW100" s="51"/>
      <c r="UX100" s="50"/>
    </row>
    <row r="101" spans="566:571" ht="39" thickBot="1" x14ac:dyDescent="0.3">
      <c r="UT101" s="510" t="s">
        <v>1</v>
      </c>
      <c r="UU101" s="511"/>
      <c r="UV101" s="512"/>
      <c r="UW101" s="55" t="s">
        <v>203</v>
      </c>
      <c r="UX101" s="56" t="s">
        <v>204</v>
      </c>
    </row>
    <row r="102" spans="566:571" x14ac:dyDescent="0.25">
      <c r="UT102" s="513" t="s">
        <v>205</v>
      </c>
      <c r="UU102" s="514"/>
      <c r="UV102" s="514"/>
      <c r="UW102" s="64">
        <v>1000</v>
      </c>
      <c r="UX102" s="65">
        <v>850</v>
      </c>
    </row>
    <row r="103" spans="566:571" x14ac:dyDescent="0.25">
      <c r="UT103" s="515" t="s">
        <v>206</v>
      </c>
      <c r="UU103" s="516"/>
      <c r="UV103" s="516"/>
      <c r="UW103" s="66">
        <v>4986</v>
      </c>
      <c r="UX103" s="67">
        <v>1650</v>
      </c>
      <c r="UY103" s="72"/>
    </row>
    <row r="104" spans="566:571" x14ac:dyDescent="0.25">
      <c r="UT104" s="515" t="s">
        <v>207</v>
      </c>
      <c r="UU104" s="516"/>
      <c r="UV104" s="516"/>
      <c r="UW104" s="66">
        <v>400</v>
      </c>
      <c r="UX104" s="67">
        <f>UW104</f>
        <v>400</v>
      </c>
    </row>
    <row r="105" spans="566:571" x14ac:dyDescent="0.25">
      <c r="UT105" s="515" t="s">
        <v>208</v>
      </c>
      <c r="UU105" s="516"/>
      <c r="UV105" s="516"/>
      <c r="UW105" s="66">
        <v>200</v>
      </c>
      <c r="UX105" s="67">
        <f>UW105</f>
        <v>200</v>
      </c>
    </row>
    <row r="106" spans="566:571" ht="15.75" thickBot="1" x14ac:dyDescent="0.3">
      <c r="UT106" s="508" t="s">
        <v>209</v>
      </c>
      <c r="UU106" s="509"/>
      <c r="UV106" s="509"/>
      <c r="UW106" s="68">
        <v>500</v>
      </c>
      <c r="UX106" s="69">
        <f>UW106</f>
        <v>500</v>
      </c>
    </row>
    <row r="107" spans="566:571" ht="15.75" thickBot="1" x14ac:dyDescent="0.3">
      <c r="UT107" s="57" t="s">
        <v>210</v>
      </c>
      <c r="UU107" s="58"/>
      <c r="UV107" s="59"/>
      <c r="UW107" s="60"/>
      <c r="UX107" s="61">
        <f>SUM(UX102:UX106)</f>
        <v>3600</v>
      </c>
    </row>
  </sheetData>
  <mergeCells count="13">
    <mergeCell ref="UT106:UV106"/>
    <mergeCell ref="UZ57:VA57"/>
    <mergeCell ref="UT101:UV101"/>
    <mergeCell ref="UT102:UV102"/>
    <mergeCell ref="UT103:UV103"/>
    <mergeCell ref="UT104:UV104"/>
    <mergeCell ref="UT105:UV105"/>
    <mergeCell ref="VA84:VB84"/>
    <mergeCell ref="JX1:JX10"/>
    <mergeCell ref="VA56:VB56"/>
    <mergeCell ref="UT69:UZ69"/>
    <mergeCell ref="UU71:UU72"/>
    <mergeCell ref="UV71:UV72"/>
  </mergeCells>
  <conditionalFormatting sqref="DV3:JW3">
    <cfRule type="cellIs" dxfId="12" priority="2" operator="greaterThan">
      <formula>8500</formula>
    </cfRule>
  </conditionalFormatting>
  <conditionalFormatting sqref="GI16:GI52">
    <cfRule type="cellIs" dxfId="11" priority="3" operator="greaterThan">
      <formula>8500</formula>
    </cfRule>
  </conditionalFormatting>
  <conditionalFormatting sqref="KC3:KK3">
    <cfRule type="cellIs" dxfId="10" priority="4" operator="greaterThan">
      <formula>8500</formula>
    </cfRule>
  </conditionalFormatting>
  <conditionalFormatting sqref="KM3:KU3">
    <cfRule type="cellIs" dxfId="9" priority="1" operator="greaterThan">
      <formula>8500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7">
    <tabColor theme="5" tint="0.79998168889431442"/>
  </sheetPr>
  <dimension ref="A1:G12"/>
  <sheetViews>
    <sheetView workbookViewId="0">
      <selection activeCell="D4" sqref="D4"/>
    </sheetView>
  </sheetViews>
  <sheetFormatPr defaultRowHeight="15" x14ac:dyDescent="0.25"/>
  <cols>
    <col min="1" max="1" width="21.5703125" customWidth="1"/>
    <col min="2" max="2" width="15.7109375" customWidth="1"/>
    <col min="3" max="3" width="21.42578125" bestFit="1" customWidth="1"/>
    <col min="4" max="4" width="19.5703125" customWidth="1"/>
    <col min="5" max="5" width="14.28515625" bestFit="1" customWidth="1"/>
    <col min="6" max="6" width="11.28515625" customWidth="1"/>
    <col min="7" max="7" width="12.85546875" customWidth="1"/>
  </cols>
  <sheetData>
    <row r="1" spans="1:7" ht="15.75" thickBot="1" x14ac:dyDescent="0.3">
      <c r="A1" s="220" t="s">
        <v>151</v>
      </c>
    </row>
    <row r="2" spans="1:7" ht="15.75" thickBot="1" x14ac:dyDescent="0.3">
      <c r="A2" s="491" t="s">
        <v>155</v>
      </c>
      <c r="B2" s="491" t="s">
        <v>156</v>
      </c>
      <c r="C2" s="493" t="s">
        <v>157</v>
      </c>
      <c r="D2" s="493" t="s">
        <v>270</v>
      </c>
      <c r="E2" s="491" t="s">
        <v>161</v>
      </c>
      <c r="F2" s="495" t="s">
        <v>154</v>
      </c>
      <c r="G2" s="473"/>
    </row>
    <row r="3" spans="1:7" ht="15.75" thickBot="1" x14ac:dyDescent="0.3">
      <c r="A3" s="492"/>
      <c r="B3" s="492"/>
      <c r="C3" s="494"/>
      <c r="D3" s="494"/>
      <c r="E3" s="492"/>
      <c r="F3" s="221" t="s">
        <v>89</v>
      </c>
      <c r="G3" s="190" t="s">
        <v>90</v>
      </c>
    </row>
    <row r="4" spans="1:7" ht="15.75" thickBot="1" x14ac:dyDescent="0.3">
      <c r="A4" s="222" t="s">
        <v>65</v>
      </c>
      <c r="B4" s="223" t="str">
        <f>'New format -All WH'!UU62</f>
        <v>CBM</v>
      </c>
      <c r="C4" s="224">
        <f>'All WH'!AIR5</f>
        <v>21000</v>
      </c>
      <c r="D4" s="224">
        <f>'100% Occupancy'!D4</f>
        <v>9403.6718999999994</v>
      </c>
      <c r="E4" s="225">
        <f>'New format -All WH'!UY62</f>
        <v>11596.328100000001</v>
      </c>
      <c r="F4" s="226">
        <f>'New format -All WH'!UZ62</f>
        <v>1237195.135652459</v>
      </c>
      <c r="G4" s="158">
        <f>'New format -All WH'!VA62</f>
        <v>279832.70431475411</v>
      </c>
    </row>
    <row r="5" spans="1:7" ht="15.75" thickBot="1" x14ac:dyDescent="0.3">
      <c r="A5" s="160" t="s">
        <v>73</v>
      </c>
      <c r="B5" s="159" t="str">
        <f>'New format -All WH'!UU63</f>
        <v>CBM</v>
      </c>
      <c r="C5" s="200">
        <f>'All WH'!AIR8</f>
        <v>7500</v>
      </c>
      <c r="D5" s="192">
        <f>'100% Occupancy'!D7</f>
        <v>7500</v>
      </c>
      <c r="E5" s="158" t="str">
        <f>'New format -All WH'!UY63</f>
        <v>0</v>
      </c>
      <c r="F5" s="158">
        <f>'New format -All WH'!UZ63</f>
        <v>0</v>
      </c>
      <c r="G5" s="158">
        <f>'New format -All WH'!VA63</f>
        <v>0</v>
      </c>
    </row>
    <row r="6" spans="1:7" ht="15.75" thickBot="1" x14ac:dyDescent="0.3">
      <c r="A6" s="160" t="s">
        <v>63</v>
      </c>
      <c r="B6" s="159" t="str">
        <f>'New format -All WH'!UU59</f>
        <v>CBM</v>
      </c>
      <c r="C6" s="200">
        <f>'All WH'!AIR2</f>
        <v>10300</v>
      </c>
      <c r="D6" s="200">
        <f>'100% Occupancy'!D8</f>
        <v>5558.7183473000014</v>
      </c>
      <c r="E6" s="158">
        <f>'New format -All WH'!UY59</f>
        <v>4741.2816526999986</v>
      </c>
      <c r="F6" s="158">
        <f>'New format -All WH'!UZ59</f>
        <v>453919.42379947525</v>
      </c>
      <c r="G6" s="158">
        <f>'New format -All WH'!VA59</f>
        <v>82855.840029150801</v>
      </c>
    </row>
    <row r="7" spans="1:7" ht="30.75" thickBot="1" x14ac:dyDescent="0.3">
      <c r="A7" s="160" t="s">
        <v>271</v>
      </c>
      <c r="B7" s="159" t="str">
        <f>'New format -All WH'!UU60</f>
        <v>CBM</v>
      </c>
      <c r="C7" s="200">
        <f>'New format -All WH'!UV60</f>
        <v>100</v>
      </c>
      <c r="D7" s="200">
        <f>'100% Occupancy'!D9</f>
        <v>39.439366699999859</v>
      </c>
      <c r="E7" s="158">
        <f>'New format -All WH'!UY60</f>
        <v>60.560633300000141</v>
      </c>
      <c r="F7" s="158">
        <f>'New format -All WH'!UZ60</f>
        <v>5797.9360405246034</v>
      </c>
      <c r="G7" s="158">
        <f>'New format -All WH'!VA60</f>
        <v>1058.3218868491829</v>
      </c>
    </row>
    <row r="8" spans="1:7" ht="15.75" thickBot="1" x14ac:dyDescent="0.3">
      <c r="A8" s="160" t="s">
        <v>64</v>
      </c>
      <c r="B8" s="159" t="str">
        <f>'New format -All WH'!UU61</f>
        <v>CBM</v>
      </c>
      <c r="C8" s="200">
        <f>'All WH'!AIR4</f>
        <v>10250</v>
      </c>
      <c r="D8" s="200">
        <f>'100% Occupancy'!D10</f>
        <v>6463.1408999999994</v>
      </c>
      <c r="E8" s="158">
        <f>'New format -All WH'!UY61</f>
        <v>3786.8591000000006</v>
      </c>
      <c r="F8" s="158">
        <f>'New format -All WH'!UZ61</f>
        <v>309405.0123672132</v>
      </c>
      <c r="G8" s="158">
        <f>'New format -All WH'!VA61</f>
        <v>76978.775147541004</v>
      </c>
    </row>
    <row r="9" spans="1:7" ht="15.75" thickBot="1" x14ac:dyDescent="0.3">
      <c r="A9" s="161" t="s">
        <v>171</v>
      </c>
      <c r="B9" s="191"/>
      <c r="C9" s="191">
        <f>SUM(C4:C8)</f>
        <v>49150</v>
      </c>
      <c r="D9" s="191">
        <f>SUM(D4:D8)</f>
        <v>28964.970514000001</v>
      </c>
      <c r="E9" s="191">
        <f>SUM(E4:E8)</f>
        <v>20185.029485999999</v>
      </c>
      <c r="F9" s="191">
        <f>SUM(F4:F8)</f>
        <v>2006317.507859672</v>
      </c>
      <c r="G9" s="191">
        <f>SUM(G4:G8)</f>
        <v>440725.64137829514</v>
      </c>
    </row>
    <row r="10" spans="1:7" ht="15.75" thickBot="1" x14ac:dyDescent="0.3">
      <c r="A10" s="238"/>
      <c r="B10" s="239"/>
      <c r="C10" s="239"/>
      <c r="D10" s="191"/>
      <c r="E10" s="216"/>
      <c r="F10" s="216"/>
      <c r="G10" s="216"/>
    </row>
    <row r="11" spans="1:7" ht="30.75" hidden="1" thickBot="1" x14ac:dyDescent="0.3">
      <c r="A11" s="160" t="s">
        <v>66</v>
      </c>
      <c r="B11" s="159" t="s">
        <v>47</v>
      </c>
      <c r="C11" s="237">
        <v>1700</v>
      </c>
      <c r="D11" s="237">
        <f>'100% Occupancy'!D5</f>
        <v>51</v>
      </c>
      <c r="E11" s="235"/>
      <c r="F11" s="216"/>
      <c r="G11" s="216"/>
    </row>
    <row r="12" spans="1:7" ht="30.75" thickBot="1" x14ac:dyDescent="0.3">
      <c r="A12" s="160" t="s">
        <v>67</v>
      </c>
      <c r="B12" s="159" t="s">
        <v>47</v>
      </c>
      <c r="C12" s="237">
        <f>'All WH'!AIR7</f>
        <v>4300</v>
      </c>
      <c r="D12" s="237">
        <f>'100% Occupancy'!D6</f>
        <v>3243.8409999999999</v>
      </c>
    </row>
  </sheetData>
  <mergeCells count="6">
    <mergeCell ref="A2:A3"/>
    <mergeCell ref="F2:G2"/>
    <mergeCell ref="E2:E3"/>
    <mergeCell ref="D2:D3"/>
    <mergeCell ref="C2:C3"/>
    <mergeCell ref="B2:B3"/>
  </mergeCells>
  <pageMargins left="0.7" right="0.7" top="0.75" bottom="0.75" header="0.3" footer="0.3"/>
  <pageSetup orientation="portrait" horizontalDpi="4294967292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8"/>
  <dimension ref="A1:J50"/>
  <sheetViews>
    <sheetView workbookViewId="0">
      <selection activeCell="D8" sqref="D8"/>
    </sheetView>
  </sheetViews>
  <sheetFormatPr defaultRowHeight="15" x14ac:dyDescent="0.25"/>
  <cols>
    <col min="1" max="1" width="38.28515625" bestFit="1" customWidth="1"/>
    <col min="2" max="2" width="8.85546875" bestFit="1" customWidth="1"/>
    <col min="3" max="3" width="12" bestFit="1" customWidth="1"/>
    <col min="4" max="4" width="18.42578125" customWidth="1"/>
    <col min="5" max="5" width="17.85546875" customWidth="1"/>
    <col min="6" max="6" width="13.5703125" customWidth="1"/>
    <col min="7" max="7" width="21.28515625" customWidth="1"/>
    <col min="8" max="8" width="12.42578125" bestFit="1" customWidth="1"/>
  </cols>
  <sheetData>
    <row r="1" spans="1:9" x14ac:dyDescent="0.25">
      <c r="A1" s="519" t="s">
        <v>455</v>
      </c>
      <c r="B1" s="519"/>
      <c r="C1" s="519"/>
      <c r="D1" s="519"/>
      <c r="E1" s="519"/>
      <c r="F1" s="519"/>
      <c r="G1" s="519"/>
    </row>
    <row r="2" spans="1:9" ht="15.75" thickBot="1" x14ac:dyDescent="0.3">
      <c r="A2" t="s">
        <v>151</v>
      </c>
    </row>
    <row r="3" spans="1:9" ht="45.75" thickBot="1" x14ac:dyDescent="0.3">
      <c r="A3" s="186" t="s">
        <v>155</v>
      </c>
      <c r="B3" s="186" t="s">
        <v>156</v>
      </c>
      <c r="C3" s="162" t="s">
        <v>157</v>
      </c>
      <c r="D3" s="162" t="s">
        <v>270</v>
      </c>
      <c r="E3" s="186" t="s">
        <v>161</v>
      </c>
      <c r="F3" s="186" t="s">
        <v>89</v>
      </c>
      <c r="G3" s="190" t="s">
        <v>90</v>
      </c>
    </row>
    <row r="4" spans="1:9" ht="15.75" thickBot="1" x14ac:dyDescent="0.3">
      <c r="A4" s="213" t="s">
        <v>65</v>
      </c>
      <c r="B4" s="159" t="s">
        <v>47</v>
      </c>
      <c r="C4" s="200">
        <f>I18</f>
        <v>21000</v>
      </c>
      <c r="D4" s="200">
        <f>IF(VLOOKUP(A4,'New format -All WH'!$UT$58:$UX$67,5,FALSE)&gt;VLOOKUP(A4,'New format -All WH'!$UT$58:$UX$67,3,FALSE),C4,VLOOKUP(A4,'New format -All WH'!$UT$58:$UX$67,5,FALSE))</f>
        <v>9403.6718999999994</v>
      </c>
      <c r="E4" s="218">
        <v>0</v>
      </c>
      <c r="F4" s="158">
        <v>0</v>
      </c>
      <c r="G4" s="158">
        <v>0</v>
      </c>
      <c r="H4" s="122"/>
    </row>
    <row r="5" spans="1:9" ht="16.899999999999999" customHeight="1" thickBot="1" x14ac:dyDescent="0.3">
      <c r="A5" s="160" t="s">
        <v>66</v>
      </c>
      <c r="B5" s="159" t="s">
        <v>47</v>
      </c>
      <c r="C5" s="200">
        <v>1700</v>
      </c>
      <c r="D5" s="200">
        <f>IF(VLOOKUP(A5,'New format -All WH'!$UT$58:$UX$67,5,FALSE)&gt;VLOOKUP(A5,'New format -All WH'!$UT$58:$UX$67,3,FALSE),C5,VLOOKUP(A5,'New format -All WH'!$UT$58:$UX$67,5,FALSE))</f>
        <v>51</v>
      </c>
      <c r="E5" s="218"/>
      <c r="F5" s="158"/>
      <c r="G5" s="158"/>
      <c r="H5" s="122"/>
    </row>
    <row r="6" spans="1:9" ht="15.75" thickBot="1" x14ac:dyDescent="0.3">
      <c r="A6" s="160" t="s">
        <v>67</v>
      </c>
      <c r="B6" s="159" t="s">
        <v>47</v>
      </c>
      <c r="C6" s="200">
        <f>I20</f>
        <v>4300</v>
      </c>
      <c r="D6" s="200">
        <f>IF(VLOOKUP(A6,'New format -All WH'!$UT$58:$UX$67,5,FALSE)&gt;VLOOKUP(A6,'New format -All WH'!$UT$58:$UX$67,3,FALSE),C6,VLOOKUP(A6,'New format -All WH'!$UT$58:$UX$67,5,FALSE))</f>
        <v>3243.8409999999999</v>
      </c>
      <c r="E6" s="218"/>
      <c r="F6" s="158"/>
      <c r="G6" s="158"/>
      <c r="H6" s="122"/>
    </row>
    <row r="7" spans="1:9" ht="15.75" thickBot="1" x14ac:dyDescent="0.3">
      <c r="A7" s="160" t="s">
        <v>73</v>
      </c>
      <c r="B7" s="159" t="s">
        <v>47</v>
      </c>
      <c r="C7" s="200">
        <f>I21</f>
        <v>7500</v>
      </c>
      <c r="D7" s="200">
        <f>IF(VLOOKUP(A7,'New format -All WH'!$UT$58:$UX$67,5,FALSE)&gt;VLOOKUP(A7,'New format -All WH'!$UT$58:$UX$67,3,FALSE),C7,VLOOKUP(A7,'New format -All WH'!$UT$58:$UX$67,5,FALSE))</f>
        <v>7500</v>
      </c>
      <c r="E7" s="218">
        <v>0</v>
      </c>
      <c r="F7" s="158">
        <v>0</v>
      </c>
      <c r="G7" s="158">
        <v>0</v>
      </c>
      <c r="H7" s="122"/>
    </row>
    <row r="8" spans="1:9" ht="15.75" thickBot="1" x14ac:dyDescent="0.3">
      <c r="A8" s="160" t="s">
        <v>63</v>
      </c>
      <c r="B8" s="159" t="s">
        <v>47</v>
      </c>
      <c r="C8" s="200">
        <f>I15</f>
        <v>10300</v>
      </c>
      <c r="D8" s="200">
        <f>IF(VLOOKUP(A8,'New format -All WH'!$UT$58:$UX$67,5,FALSE)&gt;VLOOKUP(A8,'New format -All WH'!$UT$58:$UX$67,3,FALSE),C8,VLOOKUP(A8,'New format -All WH'!$UT$58:$UX$67,5,FALSE))</f>
        <v>5558.7183473000014</v>
      </c>
      <c r="E8" s="218">
        <v>0</v>
      </c>
      <c r="F8" s="158">
        <v>0</v>
      </c>
      <c r="G8" s="158">
        <v>0</v>
      </c>
      <c r="H8" s="122"/>
    </row>
    <row r="9" spans="1:9" ht="15.75" thickBot="1" x14ac:dyDescent="0.3">
      <c r="A9" s="160" t="s">
        <v>68</v>
      </c>
      <c r="B9" s="159" t="str">
        <f>'New format -All WH'!UU62</f>
        <v>CBM</v>
      </c>
      <c r="C9" s="200">
        <f>I16</f>
        <v>100</v>
      </c>
      <c r="D9" s="200">
        <f>IF(VLOOKUP(A9,'New format -All WH'!$UT$58:$UX$67,5,FALSE)&gt;VLOOKUP(A9,'New format -All WH'!$UT$58:$UX$67,3,FALSE),C9,VLOOKUP(A9,'New format -All WH'!$UT$58:$UX$67,5,FALSE))</f>
        <v>39.439366699999859</v>
      </c>
      <c r="E9" s="218"/>
      <c r="F9" s="158"/>
      <c r="G9" s="158"/>
      <c r="H9" s="122"/>
    </row>
    <row r="10" spans="1:9" ht="15.75" thickBot="1" x14ac:dyDescent="0.3">
      <c r="A10" s="160" t="s">
        <v>64</v>
      </c>
      <c r="B10" s="159" t="s">
        <v>47</v>
      </c>
      <c r="C10" s="200">
        <f>I17</f>
        <v>10250</v>
      </c>
      <c r="D10" s="200">
        <f>IF(VLOOKUP(A10,'New format -All WH'!$UT$58:$UX$67,5,FALSE)&gt;VLOOKUP(A10,'New format -All WH'!$UT$58:$UX$67,3,FALSE),C10,VLOOKUP(A10,'New format -All WH'!$UT$58:$UX$67,5,FALSE))</f>
        <v>6463.1408999999994</v>
      </c>
      <c r="E10" s="218">
        <v>0</v>
      </c>
      <c r="F10" s="158">
        <v>0</v>
      </c>
      <c r="G10" s="158">
        <v>0</v>
      </c>
      <c r="H10" s="122"/>
    </row>
    <row r="11" spans="1:9" ht="15.75" thickBot="1" x14ac:dyDescent="0.3">
      <c r="A11" s="160" t="s">
        <v>171</v>
      </c>
      <c r="B11" s="159"/>
      <c r="C11" s="191">
        <f>SUM(C4:C10)</f>
        <v>55150</v>
      </c>
      <c r="D11" s="214">
        <f>SUM(D4:D10)</f>
        <v>32259.811514000001</v>
      </c>
      <c r="E11" s="191">
        <v>0</v>
      </c>
      <c r="F11" s="191">
        <v>0</v>
      </c>
      <c r="G11" s="191">
        <v>0</v>
      </c>
    </row>
    <row r="13" spans="1:9" ht="22.9" customHeight="1" x14ac:dyDescent="0.25"/>
    <row r="14" spans="1:9" ht="21" customHeight="1" x14ac:dyDescent="0.25">
      <c r="A14" s="46" t="s">
        <v>44</v>
      </c>
      <c r="B14" s="46" t="s">
        <v>104</v>
      </c>
      <c r="C14" s="46" t="s">
        <v>78</v>
      </c>
      <c r="D14" s="46" t="s">
        <v>105</v>
      </c>
      <c r="E14" s="46" t="s">
        <v>106</v>
      </c>
      <c r="F14" s="46" t="s">
        <v>107</v>
      </c>
      <c r="G14" s="46" t="s">
        <v>44</v>
      </c>
      <c r="H14" s="46" t="s">
        <v>62</v>
      </c>
      <c r="I14" s="46" t="s">
        <v>45</v>
      </c>
    </row>
    <row r="15" spans="1:9" ht="22.9" customHeight="1" x14ac:dyDescent="0.25">
      <c r="A15" s="113" t="s">
        <v>63</v>
      </c>
      <c r="B15" s="219">
        <f>D8</f>
        <v>5558.7183473000014</v>
      </c>
      <c r="C15" s="227">
        <f t="shared" ref="C15:C21" si="0">B15/I15</f>
        <v>0.53968139294174766</v>
      </c>
      <c r="D15" s="7">
        <v>0</v>
      </c>
      <c r="E15" s="7"/>
      <c r="F15" s="7">
        <v>0</v>
      </c>
      <c r="G15" s="113" t="s">
        <v>63</v>
      </c>
      <c r="H15" s="7" t="s">
        <v>47</v>
      </c>
      <c r="I15" s="7">
        <f>'All WH'!AIR2</f>
        <v>10300</v>
      </c>
    </row>
    <row r="16" spans="1:9" ht="22.15" customHeight="1" x14ac:dyDescent="0.25">
      <c r="A16" s="309" t="s">
        <v>68</v>
      </c>
      <c r="B16" s="219">
        <f>D9</f>
        <v>39.439366699999859</v>
      </c>
      <c r="C16" s="227">
        <f t="shared" si="0"/>
        <v>0.39439366699999856</v>
      </c>
      <c r="D16" s="7"/>
      <c r="E16" s="7"/>
      <c r="F16" s="7"/>
      <c r="G16" s="309" t="s">
        <v>271</v>
      </c>
      <c r="H16" s="7" t="s">
        <v>47</v>
      </c>
      <c r="I16" s="7">
        <f>'All WH'!AIR3</f>
        <v>100</v>
      </c>
    </row>
    <row r="17" spans="1:10" ht="19.149999999999999" customHeight="1" x14ac:dyDescent="0.25">
      <c r="A17" s="113" t="s">
        <v>64</v>
      </c>
      <c r="B17" s="219">
        <f>D10</f>
        <v>6463.1408999999994</v>
      </c>
      <c r="C17" s="269">
        <f t="shared" si="0"/>
        <v>0.630550331707317</v>
      </c>
      <c r="D17" s="7">
        <v>0</v>
      </c>
      <c r="E17" s="7"/>
      <c r="F17" s="7">
        <v>0</v>
      </c>
      <c r="G17" s="113" t="s">
        <v>64</v>
      </c>
      <c r="H17" s="7" t="s">
        <v>47</v>
      </c>
      <c r="I17" s="7">
        <f>'All WH'!AIR4</f>
        <v>10250</v>
      </c>
    </row>
    <row r="18" spans="1:10" ht="21.6" customHeight="1" x14ac:dyDescent="0.25">
      <c r="A18" s="113" t="s">
        <v>65</v>
      </c>
      <c r="B18" s="219">
        <f>D4</f>
        <v>9403.6718999999994</v>
      </c>
      <c r="C18" s="125">
        <f>B18/I18</f>
        <v>0.44779389999999997</v>
      </c>
      <c r="D18" s="7">
        <v>0</v>
      </c>
      <c r="E18" s="7"/>
      <c r="F18" s="7">
        <v>0</v>
      </c>
      <c r="G18" s="113" t="s">
        <v>65</v>
      </c>
      <c r="H18" s="7" t="s">
        <v>47</v>
      </c>
      <c r="I18" s="7">
        <f>'All WH'!AIR5</f>
        <v>21000</v>
      </c>
    </row>
    <row r="19" spans="1:10" ht="15" customHeight="1" x14ac:dyDescent="0.25">
      <c r="A19" s="309" t="s">
        <v>66</v>
      </c>
      <c r="B19" s="310">
        <f>D5</f>
        <v>51</v>
      </c>
      <c r="C19" s="125">
        <f t="shared" si="0"/>
        <v>0.03</v>
      </c>
      <c r="D19" s="7"/>
      <c r="E19" s="7"/>
      <c r="F19" s="7"/>
      <c r="G19" s="113" t="s">
        <v>456</v>
      </c>
      <c r="H19" s="7" t="s">
        <v>47</v>
      </c>
      <c r="I19" s="7">
        <f>'All WH'!AIR6</f>
        <v>1700</v>
      </c>
    </row>
    <row r="20" spans="1:10" ht="25.9" customHeight="1" x14ac:dyDescent="0.25">
      <c r="A20" s="309" t="s">
        <v>67</v>
      </c>
      <c r="B20" s="310">
        <f>D6</f>
        <v>3243.8409999999999</v>
      </c>
      <c r="C20" s="125">
        <f t="shared" si="0"/>
        <v>0.75438162790697672</v>
      </c>
      <c r="D20" s="7"/>
      <c r="E20" s="7"/>
      <c r="F20" s="7"/>
      <c r="G20" s="113" t="s">
        <v>457</v>
      </c>
      <c r="H20" s="7" t="s">
        <v>47</v>
      </c>
      <c r="I20" s="7">
        <f>'All WH'!AIR7</f>
        <v>4300</v>
      </c>
    </row>
    <row r="21" spans="1:10" ht="28.9" customHeight="1" x14ac:dyDescent="0.25">
      <c r="A21" s="113" t="s">
        <v>73</v>
      </c>
      <c r="B21" s="219">
        <f>D7</f>
        <v>7500</v>
      </c>
      <c r="C21" s="125">
        <f t="shared" si="0"/>
        <v>1</v>
      </c>
      <c r="D21" s="7">
        <v>0</v>
      </c>
      <c r="E21" s="7"/>
      <c r="F21" s="7">
        <v>0</v>
      </c>
      <c r="G21" s="113" t="s">
        <v>73</v>
      </c>
      <c r="H21" s="7" t="s">
        <v>47</v>
      </c>
      <c r="I21" s="7">
        <f>'All WH'!AIR8</f>
        <v>7500</v>
      </c>
    </row>
    <row r="23" spans="1:10" x14ac:dyDescent="0.25">
      <c r="A23" s="194" t="s">
        <v>70</v>
      </c>
      <c r="B23" t="s">
        <v>458</v>
      </c>
      <c r="C23" t="s">
        <v>459</v>
      </c>
    </row>
    <row r="24" spans="1:10" x14ac:dyDescent="0.25">
      <c r="A24" s="17" t="s">
        <v>65</v>
      </c>
      <c r="B24">
        <v>21000</v>
      </c>
      <c r="C24">
        <v>9403.6718999999994</v>
      </c>
    </row>
    <row r="25" spans="1:10" x14ac:dyDescent="0.25">
      <c r="A25" s="195">
        <v>0.44779389999999997</v>
      </c>
      <c r="B25">
        <v>21000</v>
      </c>
      <c r="C25">
        <v>9403.6718999999994</v>
      </c>
    </row>
    <row r="26" spans="1:10" x14ac:dyDescent="0.25">
      <c r="A26" s="17" t="s">
        <v>67</v>
      </c>
      <c r="B26">
        <v>4300</v>
      </c>
      <c r="C26">
        <v>3243.8409999999999</v>
      </c>
    </row>
    <row r="27" spans="1:10" x14ac:dyDescent="0.25">
      <c r="A27" s="195">
        <v>0.75438162790697672</v>
      </c>
      <c r="B27">
        <v>4300</v>
      </c>
      <c r="C27">
        <v>3243.8409999999999</v>
      </c>
    </row>
    <row r="28" spans="1:10" x14ac:dyDescent="0.25">
      <c r="A28" s="17" t="s">
        <v>73</v>
      </c>
      <c r="B28">
        <v>7500</v>
      </c>
      <c r="C28">
        <v>7500</v>
      </c>
    </row>
    <row r="29" spans="1:10" x14ac:dyDescent="0.25">
      <c r="A29" s="195">
        <v>1</v>
      </c>
      <c r="B29">
        <v>7500</v>
      </c>
      <c r="C29">
        <v>7500</v>
      </c>
    </row>
    <row r="30" spans="1:10" x14ac:dyDescent="0.25">
      <c r="A30" s="17" t="s">
        <v>63</v>
      </c>
      <c r="B30">
        <v>10300</v>
      </c>
      <c r="C30" s="122">
        <v>5558.7183473000014</v>
      </c>
      <c r="J30">
        <f>9432+68</f>
        <v>9500</v>
      </c>
    </row>
    <row r="31" spans="1:10" x14ac:dyDescent="0.25">
      <c r="A31" s="195">
        <v>0.53968139294174766</v>
      </c>
      <c r="B31">
        <v>10300</v>
      </c>
      <c r="C31" s="122">
        <v>5558.7183473000014</v>
      </c>
    </row>
    <row r="32" spans="1:10" x14ac:dyDescent="0.25">
      <c r="A32" s="17" t="s">
        <v>64</v>
      </c>
      <c r="B32">
        <v>10250</v>
      </c>
      <c r="C32" s="122">
        <v>6463.1408999999994</v>
      </c>
    </row>
    <row r="33" spans="1:5" x14ac:dyDescent="0.25">
      <c r="A33" s="195">
        <v>0.630550331707317</v>
      </c>
      <c r="B33">
        <v>10250</v>
      </c>
      <c r="C33">
        <v>6463.1408999999994</v>
      </c>
    </row>
    <row r="34" spans="1:5" x14ac:dyDescent="0.25">
      <c r="A34" s="17" t="s">
        <v>68</v>
      </c>
      <c r="B34">
        <v>100</v>
      </c>
      <c r="C34">
        <v>39.439366699999859</v>
      </c>
    </row>
    <row r="35" spans="1:5" x14ac:dyDescent="0.25">
      <c r="A35" s="195">
        <v>0.39439366699999856</v>
      </c>
      <c r="B35">
        <v>100</v>
      </c>
      <c r="C35">
        <v>39.439366699999859</v>
      </c>
    </row>
    <row r="36" spans="1:5" x14ac:dyDescent="0.25">
      <c r="A36" s="17" t="s">
        <v>74</v>
      </c>
      <c r="B36">
        <v>53450</v>
      </c>
      <c r="C36">
        <v>32208.811514000001</v>
      </c>
    </row>
    <row r="40" spans="1:5" ht="15.75" thickBot="1" x14ac:dyDescent="0.3"/>
    <row r="41" spans="1:5" ht="30.75" thickBot="1" x14ac:dyDescent="0.3">
      <c r="A41" s="255" t="s">
        <v>155</v>
      </c>
      <c r="B41" s="256" t="s">
        <v>460</v>
      </c>
      <c r="C41" s="256" t="s">
        <v>461</v>
      </c>
      <c r="D41" s="256" t="s">
        <v>462</v>
      </c>
      <c r="E41" s="256" t="s">
        <v>107</v>
      </c>
    </row>
    <row r="42" spans="1:5" ht="19.5" customHeight="1" thickBot="1" x14ac:dyDescent="0.3">
      <c r="A42" s="500" t="s">
        <v>186</v>
      </c>
      <c r="B42" s="259" t="s">
        <v>463</v>
      </c>
      <c r="C42" s="300"/>
      <c r="D42" s="260"/>
      <c r="E42" s="301">
        <f>C42*D42</f>
        <v>0</v>
      </c>
    </row>
    <row r="43" spans="1:5" ht="19.5" customHeight="1" thickBot="1" x14ac:dyDescent="0.3">
      <c r="A43" s="501"/>
      <c r="B43" s="259" t="s">
        <v>464</v>
      </c>
      <c r="C43" s="300"/>
      <c r="D43" s="260"/>
      <c r="E43" s="301">
        <f t="shared" ref="E43:E50" si="1">C43*D43</f>
        <v>0</v>
      </c>
    </row>
    <row r="44" spans="1:5" ht="19.5" customHeight="1" thickBot="1" x14ac:dyDescent="0.3">
      <c r="A44" s="504"/>
      <c r="B44" s="259" t="s">
        <v>465</v>
      </c>
      <c r="C44" s="300"/>
      <c r="D44" s="260"/>
      <c r="E44" s="301">
        <f t="shared" si="1"/>
        <v>0</v>
      </c>
    </row>
    <row r="45" spans="1:5" ht="19.5" customHeight="1" thickBot="1" x14ac:dyDescent="0.3">
      <c r="A45" s="299" t="s">
        <v>73</v>
      </c>
      <c r="B45" s="259" t="s">
        <v>463</v>
      </c>
      <c r="C45" s="300">
        <v>4.3739999999999997</v>
      </c>
      <c r="D45" s="260"/>
      <c r="E45" s="301">
        <f t="shared" si="1"/>
        <v>0</v>
      </c>
    </row>
    <row r="46" spans="1:5" ht="19.5" customHeight="1" thickBot="1" x14ac:dyDescent="0.3">
      <c r="A46" s="500" t="s">
        <v>63</v>
      </c>
      <c r="B46" s="259" t="s">
        <v>463</v>
      </c>
      <c r="C46" s="300">
        <v>1.9728000000000001</v>
      </c>
      <c r="D46" s="260"/>
      <c r="E46" s="301">
        <f t="shared" si="1"/>
        <v>0</v>
      </c>
    </row>
    <row r="47" spans="1:5" ht="19.5" customHeight="1" thickBot="1" x14ac:dyDescent="0.3">
      <c r="A47" s="501"/>
      <c r="B47" s="259" t="s">
        <v>465</v>
      </c>
      <c r="C47" s="300">
        <v>1.9728000000000001</v>
      </c>
      <c r="D47" s="266"/>
      <c r="E47" s="301">
        <f t="shared" si="1"/>
        <v>0</v>
      </c>
    </row>
    <row r="48" spans="1:5" ht="19.5" customHeight="1" thickBot="1" x14ac:dyDescent="0.3">
      <c r="A48" s="504"/>
      <c r="B48" s="259" t="s">
        <v>466</v>
      </c>
      <c r="C48" s="300">
        <v>0.3</v>
      </c>
      <c r="D48" s="266"/>
      <c r="E48" s="301">
        <f t="shared" si="1"/>
        <v>0</v>
      </c>
    </row>
    <row r="49" spans="1:5" ht="19.5" customHeight="1" thickBot="1" x14ac:dyDescent="0.3">
      <c r="A49" s="517" t="s">
        <v>64</v>
      </c>
      <c r="B49" s="259" t="s">
        <v>463</v>
      </c>
      <c r="C49" s="300">
        <v>4.2119999999999997</v>
      </c>
      <c r="D49" s="260"/>
      <c r="E49" s="301">
        <f t="shared" si="1"/>
        <v>0</v>
      </c>
    </row>
    <row r="50" spans="1:5" ht="19.5" customHeight="1" thickBot="1" x14ac:dyDescent="0.3">
      <c r="A50" s="518"/>
      <c r="B50" s="259" t="s">
        <v>464</v>
      </c>
      <c r="C50" s="300"/>
      <c r="D50" s="260"/>
      <c r="E50" s="301">
        <f t="shared" si="1"/>
        <v>0</v>
      </c>
    </row>
  </sheetData>
  <mergeCells count="4">
    <mergeCell ref="A46:A48"/>
    <mergeCell ref="A49:A50"/>
    <mergeCell ref="A1:G1"/>
    <mergeCell ref="A42:A44"/>
  </mergeCell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9"/>
  <dimension ref="A1:G37"/>
  <sheetViews>
    <sheetView topLeftCell="A17" workbookViewId="0">
      <selection activeCell="A31" sqref="A31:G37"/>
    </sheetView>
  </sheetViews>
  <sheetFormatPr defaultRowHeight="15" x14ac:dyDescent="0.25"/>
  <cols>
    <col min="1" max="1" width="29" bestFit="1" customWidth="1"/>
    <col min="2" max="6" width="9.5703125" bestFit="1" customWidth="1"/>
    <col min="7" max="7" width="10.42578125" bestFit="1" customWidth="1"/>
  </cols>
  <sheetData>
    <row r="1" spans="1:7" x14ac:dyDescent="0.25">
      <c r="A1" s="277" t="s">
        <v>467</v>
      </c>
      <c r="B1" s="278" t="s">
        <v>468</v>
      </c>
      <c r="C1" s="278" t="s">
        <v>469</v>
      </c>
      <c r="D1" s="278" t="s">
        <v>470</v>
      </c>
      <c r="E1" s="278" t="s">
        <v>470</v>
      </c>
    </row>
    <row r="2" spans="1:7" x14ac:dyDescent="0.25">
      <c r="A2" s="279" t="s">
        <v>471</v>
      </c>
      <c r="B2" s="279" t="s">
        <v>472</v>
      </c>
      <c r="C2" s="280">
        <f>C10*C8</f>
        <v>24.96</v>
      </c>
      <c r="D2" s="280">
        <f>D10*D8</f>
        <v>24.96</v>
      </c>
      <c r="E2" s="280">
        <f>E10*E8</f>
        <v>24.96</v>
      </c>
    </row>
    <row r="3" spans="1:7" x14ac:dyDescent="0.25">
      <c r="A3" s="279" t="s">
        <v>473</v>
      </c>
      <c r="B3" s="279" t="s">
        <v>474</v>
      </c>
      <c r="C3" s="281">
        <v>9</v>
      </c>
      <c r="D3" s="281">
        <v>9</v>
      </c>
      <c r="E3" s="281">
        <v>11</v>
      </c>
    </row>
    <row r="4" spans="1:7" x14ac:dyDescent="0.25">
      <c r="A4" s="279" t="s">
        <v>475</v>
      </c>
      <c r="B4" s="279"/>
      <c r="C4" s="282">
        <v>0.8</v>
      </c>
      <c r="D4" s="282">
        <v>0.8</v>
      </c>
      <c r="E4" s="282">
        <v>0.8</v>
      </c>
    </row>
    <row r="5" spans="1:7" x14ac:dyDescent="0.25">
      <c r="A5" s="279" t="s">
        <v>476</v>
      </c>
      <c r="B5" s="279" t="s">
        <v>474</v>
      </c>
      <c r="C5" s="280">
        <f>C3*C4</f>
        <v>7.2</v>
      </c>
      <c r="D5" s="280">
        <f>D3*D4</f>
        <v>7.2</v>
      </c>
      <c r="E5" s="280">
        <f>E3*E4</f>
        <v>8.8000000000000007</v>
      </c>
    </row>
    <row r="6" spans="1:7" x14ac:dyDescent="0.25">
      <c r="A6" s="279" t="s">
        <v>477</v>
      </c>
      <c r="B6" s="279" t="s">
        <v>478</v>
      </c>
      <c r="C6" s="283">
        <f>C5*60</f>
        <v>432</v>
      </c>
      <c r="D6" s="283">
        <f>D5*60</f>
        <v>432</v>
      </c>
      <c r="E6" s="283">
        <f>E5*60</f>
        <v>528</v>
      </c>
    </row>
    <row r="7" spans="1:7" x14ac:dyDescent="0.25">
      <c r="A7" s="279" t="s">
        <v>479</v>
      </c>
      <c r="B7" s="279" t="s">
        <v>472</v>
      </c>
      <c r="C7" s="280">
        <v>5</v>
      </c>
      <c r="D7" s="280">
        <v>5</v>
      </c>
      <c r="E7" s="280">
        <v>5</v>
      </c>
    </row>
    <row r="8" spans="1:7" x14ac:dyDescent="0.25">
      <c r="A8" s="279" t="s">
        <v>480</v>
      </c>
      <c r="B8" s="279" t="s">
        <v>481</v>
      </c>
      <c r="C8" s="284">
        <v>4.16</v>
      </c>
      <c r="D8" s="284">
        <v>4.16</v>
      </c>
      <c r="E8" s="284">
        <v>4.16</v>
      </c>
    </row>
    <row r="10" spans="1:7" x14ac:dyDescent="0.25">
      <c r="A10" s="285" t="s">
        <v>482</v>
      </c>
      <c r="C10" s="284">
        <v>6</v>
      </c>
      <c r="D10" s="284">
        <v>6</v>
      </c>
      <c r="E10" s="284">
        <v>6</v>
      </c>
    </row>
    <row r="12" spans="1:7" x14ac:dyDescent="0.25">
      <c r="B12" s="287">
        <v>44529</v>
      </c>
      <c r="C12" s="287">
        <v>44530</v>
      </c>
      <c r="D12" s="287">
        <v>44531</v>
      </c>
      <c r="E12" s="287">
        <v>44532</v>
      </c>
      <c r="F12" s="287">
        <v>44533</v>
      </c>
      <c r="G12" s="287">
        <v>44534</v>
      </c>
    </row>
    <row r="13" spans="1:7" x14ac:dyDescent="0.25">
      <c r="A13" s="288" t="s">
        <v>483</v>
      </c>
      <c r="B13" s="290">
        <f t="shared" ref="B13:G13" si="0">20*3</f>
        <v>60</v>
      </c>
      <c r="C13" s="290">
        <f t="shared" si="0"/>
        <v>60</v>
      </c>
      <c r="D13" s="290">
        <f t="shared" si="0"/>
        <v>60</v>
      </c>
      <c r="E13" s="290">
        <f t="shared" si="0"/>
        <v>60</v>
      </c>
      <c r="F13" s="290">
        <f t="shared" si="0"/>
        <v>60</v>
      </c>
      <c r="G13" s="290">
        <f t="shared" si="0"/>
        <v>60</v>
      </c>
    </row>
    <row r="14" spans="1:7" x14ac:dyDescent="0.25">
      <c r="A14" s="288" t="s">
        <v>484</v>
      </c>
      <c r="B14" s="290">
        <f t="shared" ref="B14:G14" si="1">B13*$C$5</f>
        <v>432</v>
      </c>
      <c r="C14" s="290">
        <f t="shared" si="1"/>
        <v>432</v>
      </c>
      <c r="D14" s="290">
        <f t="shared" si="1"/>
        <v>432</v>
      </c>
      <c r="E14" s="290">
        <f t="shared" si="1"/>
        <v>432</v>
      </c>
      <c r="F14" s="290">
        <f t="shared" si="1"/>
        <v>432</v>
      </c>
      <c r="G14" s="290">
        <f t="shared" si="1"/>
        <v>432</v>
      </c>
    </row>
    <row r="15" spans="1:7" x14ac:dyDescent="0.25">
      <c r="A15" s="288" t="s">
        <v>485</v>
      </c>
      <c r="B15" s="284">
        <v>0</v>
      </c>
      <c r="C15" s="284">
        <v>0</v>
      </c>
      <c r="D15" s="284">
        <v>0</v>
      </c>
      <c r="E15" s="284">
        <v>0</v>
      </c>
      <c r="F15" s="284">
        <v>0</v>
      </c>
      <c r="G15" s="284">
        <v>0</v>
      </c>
    </row>
    <row r="16" spans="1:7" x14ac:dyDescent="0.25">
      <c r="A16" s="288" t="s">
        <v>78</v>
      </c>
      <c r="B16" s="286">
        <f t="shared" ref="B16:G16" si="2">B15/B14*100</f>
        <v>0</v>
      </c>
      <c r="C16" s="284">
        <f t="shared" si="2"/>
        <v>0</v>
      </c>
      <c r="D16" s="284">
        <f t="shared" si="2"/>
        <v>0</v>
      </c>
      <c r="E16" s="284">
        <f t="shared" si="2"/>
        <v>0</v>
      </c>
      <c r="F16" s="284">
        <f t="shared" si="2"/>
        <v>0</v>
      </c>
      <c r="G16" s="284">
        <f t="shared" si="2"/>
        <v>0</v>
      </c>
    </row>
    <row r="18" spans="1:7" x14ac:dyDescent="0.25">
      <c r="B18" s="287">
        <v>44529</v>
      </c>
      <c r="C18" s="287">
        <v>44530</v>
      </c>
      <c r="D18" s="287">
        <v>44531</v>
      </c>
      <c r="E18" s="287">
        <v>44532</v>
      </c>
      <c r="F18" s="287">
        <v>44533</v>
      </c>
      <c r="G18" s="287">
        <v>44534</v>
      </c>
    </row>
    <row r="19" spans="1:7" x14ac:dyDescent="0.25">
      <c r="A19" s="288" t="s">
        <v>486</v>
      </c>
      <c r="B19" s="291">
        <v>9</v>
      </c>
      <c r="C19" s="291">
        <v>9</v>
      </c>
      <c r="D19" s="291">
        <v>9</v>
      </c>
      <c r="E19" s="291">
        <v>9</v>
      </c>
      <c r="F19" s="291">
        <v>9</v>
      </c>
      <c r="G19" s="291">
        <v>9</v>
      </c>
    </row>
    <row r="20" spans="1:7" x14ac:dyDescent="0.25">
      <c r="A20" s="288" t="s">
        <v>484</v>
      </c>
      <c r="B20" s="290">
        <f t="shared" ref="B20:G20" si="3">B19*$D$3</f>
        <v>81</v>
      </c>
      <c r="C20" s="290">
        <f t="shared" si="3"/>
        <v>81</v>
      </c>
      <c r="D20" s="290">
        <f t="shared" si="3"/>
        <v>81</v>
      </c>
      <c r="E20" s="290">
        <f t="shared" si="3"/>
        <v>81</v>
      </c>
      <c r="F20" s="290">
        <f t="shared" si="3"/>
        <v>81</v>
      </c>
      <c r="G20" s="290">
        <f t="shared" si="3"/>
        <v>81</v>
      </c>
    </row>
    <row r="21" spans="1:7" x14ac:dyDescent="0.25">
      <c r="A21" s="288" t="s">
        <v>485</v>
      </c>
      <c r="B21" s="293">
        <f t="shared" ref="B21:G21" si="4">$D$5*B19</f>
        <v>64.8</v>
      </c>
      <c r="C21" s="293">
        <f t="shared" si="4"/>
        <v>64.8</v>
      </c>
      <c r="D21" s="293">
        <f t="shared" si="4"/>
        <v>64.8</v>
      </c>
      <c r="E21" s="293">
        <f t="shared" si="4"/>
        <v>64.8</v>
      </c>
      <c r="F21" s="293">
        <f t="shared" si="4"/>
        <v>64.8</v>
      </c>
      <c r="G21" s="293">
        <f t="shared" si="4"/>
        <v>64.8</v>
      </c>
    </row>
    <row r="22" spans="1:7" x14ac:dyDescent="0.25">
      <c r="A22" s="288" t="s">
        <v>78</v>
      </c>
      <c r="B22" s="292">
        <f t="shared" ref="B22:G22" si="5">B21/B20</f>
        <v>0.79999999999999993</v>
      </c>
      <c r="C22" s="292">
        <f t="shared" si="5"/>
        <v>0.79999999999999993</v>
      </c>
      <c r="D22" s="292">
        <f t="shared" si="5"/>
        <v>0.79999999999999993</v>
      </c>
      <c r="E22" s="292">
        <f t="shared" si="5"/>
        <v>0.79999999999999993</v>
      </c>
      <c r="F22" s="292">
        <f t="shared" si="5"/>
        <v>0.79999999999999993</v>
      </c>
      <c r="G22" s="292">
        <f t="shared" si="5"/>
        <v>0.79999999999999993</v>
      </c>
    </row>
    <row r="24" spans="1:7" x14ac:dyDescent="0.25">
      <c r="B24" s="289">
        <v>44529</v>
      </c>
      <c r="C24" s="289">
        <v>44530</v>
      </c>
      <c r="D24" s="289">
        <v>44531</v>
      </c>
      <c r="E24" s="289">
        <v>44532</v>
      </c>
      <c r="F24" s="289">
        <v>44533</v>
      </c>
      <c r="G24" s="289">
        <v>44534</v>
      </c>
    </row>
    <row r="25" spans="1:7" x14ac:dyDescent="0.25">
      <c r="A25" s="288" t="s">
        <v>487</v>
      </c>
      <c r="B25" s="291">
        <v>19</v>
      </c>
      <c r="C25" s="291">
        <v>20</v>
      </c>
      <c r="D25" s="291">
        <v>19</v>
      </c>
      <c r="E25" s="291">
        <v>20</v>
      </c>
      <c r="F25" s="291">
        <v>20</v>
      </c>
      <c r="G25" s="291">
        <v>18</v>
      </c>
    </row>
    <row r="26" spans="1:7" x14ac:dyDescent="0.25">
      <c r="A26" s="288" t="s">
        <v>484</v>
      </c>
      <c r="B26" s="290">
        <f t="shared" ref="B26:G26" si="6">B25*$C$3</f>
        <v>171</v>
      </c>
      <c r="C26" s="290">
        <f t="shared" si="6"/>
        <v>180</v>
      </c>
      <c r="D26" s="290">
        <f t="shared" si="6"/>
        <v>171</v>
      </c>
      <c r="E26" s="290">
        <f t="shared" si="6"/>
        <v>180</v>
      </c>
      <c r="F26" s="290">
        <f t="shared" si="6"/>
        <v>180</v>
      </c>
      <c r="G26" s="290">
        <f t="shared" si="6"/>
        <v>162</v>
      </c>
    </row>
    <row r="27" spans="1:7" x14ac:dyDescent="0.25">
      <c r="A27" s="288" t="s">
        <v>485</v>
      </c>
      <c r="B27" s="293">
        <f t="shared" ref="B27:G27" si="7">$C$5*B25</f>
        <v>136.80000000000001</v>
      </c>
      <c r="C27" s="293">
        <f t="shared" si="7"/>
        <v>144</v>
      </c>
      <c r="D27" s="293">
        <f t="shared" si="7"/>
        <v>136.80000000000001</v>
      </c>
      <c r="E27" s="293">
        <f t="shared" si="7"/>
        <v>144</v>
      </c>
      <c r="F27" s="293">
        <f t="shared" si="7"/>
        <v>144</v>
      </c>
      <c r="G27" s="293">
        <f t="shared" si="7"/>
        <v>129.6</v>
      </c>
    </row>
    <row r="28" spans="1:7" x14ac:dyDescent="0.25">
      <c r="A28" s="288" t="s">
        <v>78</v>
      </c>
      <c r="B28" s="292">
        <f t="shared" ref="B28:G28" si="8">B27/B26</f>
        <v>0.8</v>
      </c>
      <c r="C28" s="292">
        <f t="shared" si="8"/>
        <v>0.8</v>
      </c>
      <c r="D28" s="292">
        <f t="shared" si="8"/>
        <v>0.8</v>
      </c>
      <c r="E28" s="292">
        <f t="shared" si="8"/>
        <v>0.8</v>
      </c>
      <c r="F28" s="292">
        <f t="shared" si="8"/>
        <v>0.8</v>
      </c>
      <c r="G28" s="292">
        <f t="shared" si="8"/>
        <v>0.79999999999999993</v>
      </c>
    </row>
    <row r="31" spans="1:7" x14ac:dyDescent="0.25">
      <c r="A31" s="294" t="s">
        <v>151</v>
      </c>
    </row>
    <row r="32" spans="1:7" x14ac:dyDescent="0.25">
      <c r="A32" s="297" t="s">
        <v>488</v>
      </c>
      <c r="B32" s="298">
        <v>44529</v>
      </c>
      <c r="C32" s="298">
        <v>44530</v>
      </c>
      <c r="D32" s="298">
        <v>44531</v>
      </c>
      <c r="E32" s="298">
        <v>44532</v>
      </c>
      <c r="F32" s="298">
        <v>44533</v>
      </c>
      <c r="G32" s="298">
        <v>44534</v>
      </c>
    </row>
    <row r="33" spans="1:7" x14ac:dyDescent="0.25">
      <c r="A33" s="295" t="s">
        <v>489</v>
      </c>
      <c r="B33" s="7"/>
      <c r="C33" s="7"/>
      <c r="D33" s="7"/>
      <c r="E33" s="7"/>
      <c r="F33" s="7"/>
      <c r="G33" s="7"/>
    </row>
    <row r="34" spans="1:7" x14ac:dyDescent="0.25">
      <c r="A34" s="288" t="s">
        <v>490</v>
      </c>
      <c r="B34" s="296">
        <f t="shared" ref="B34:G34" si="9">B28</f>
        <v>0.8</v>
      </c>
      <c r="C34" s="296">
        <f t="shared" si="9"/>
        <v>0.8</v>
      </c>
      <c r="D34" s="296">
        <f t="shared" si="9"/>
        <v>0.8</v>
      </c>
      <c r="E34" s="296">
        <f t="shared" si="9"/>
        <v>0.8</v>
      </c>
      <c r="F34" s="296">
        <f t="shared" si="9"/>
        <v>0.8</v>
      </c>
      <c r="G34" s="296">
        <f t="shared" si="9"/>
        <v>0.79999999999999993</v>
      </c>
    </row>
    <row r="35" spans="1:7" x14ac:dyDescent="0.25">
      <c r="A35" s="288" t="s">
        <v>491</v>
      </c>
      <c r="B35" s="296">
        <f t="shared" ref="B35:G35" si="10">B22</f>
        <v>0.79999999999999993</v>
      </c>
      <c r="C35" s="296">
        <f t="shared" si="10"/>
        <v>0.79999999999999993</v>
      </c>
      <c r="D35" s="296">
        <f t="shared" si="10"/>
        <v>0.79999999999999993</v>
      </c>
      <c r="E35" s="296">
        <f t="shared" si="10"/>
        <v>0.79999999999999993</v>
      </c>
      <c r="F35" s="296">
        <f t="shared" si="10"/>
        <v>0.79999999999999993</v>
      </c>
      <c r="G35" s="296">
        <f t="shared" si="10"/>
        <v>0.79999999999999993</v>
      </c>
    </row>
    <row r="36" spans="1:7" x14ac:dyDescent="0.25">
      <c r="A36" s="295" t="s">
        <v>492</v>
      </c>
      <c r="B36" s="9"/>
      <c r="C36" s="9"/>
      <c r="D36" s="9"/>
      <c r="E36" s="9"/>
      <c r="F36" s="9"/>
      <c r="G36" s="9"/>
    </row>
    <row r="37" spans="1:7" x14ac:dyDescent="0.25">
      <c r="A37" s="288" t="s">
        <v>491</v>
      </c>
      <c r="B37" s="296">
        <f t="shared" ref="B37:G37" si="11">B16</f>
        <v>0</v>
      </c>
      <c r="C37" s="296">
        <f t="shared" si="11"/>
        <v>0</v>
      </c>
      <c r="D37" s="296">
        <f t="shared" si="11"/>
        <v>0</v>
      </c>
      <c r="E37" s="296">
        <f t="shared" si="11"/>
        <v>0</v>
      </c>
      <c r="F37" s="296">
        <f t="shared" si="11"/>
        <v>0</v>
      </c>
      <c r="G37" s="296">
        <f t="shared" si="11"/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/>
  <dimension ref="A3:C27"/>
  <sheetViews>
    <sheetView workbookViewId="0">
      <selection activeCell="B36" sqref="B36"/>
    </sheetView>
  </sheetViews>
  <sheetFormatPr defaultRowHeight="15" x14ac:dyDescent="0.25"/>
  <cols>
    <col min="1" max="1" width="13.140625" bestFit="1" customWidth="1"/>
    <col min="2" max="2" width="9.28515625" bestFit="1" customWidth="1"/>
    <col min="3" max="3" width="11.28515625" bestFit="1" customWidth="1"/>
    <col min="4" max="4" width="15.140625" customWidth="1"/>
  </cols>
  <sheetData>
    <row r="3" spans="1:3" x14ac:dyDescent="0.25">
      <c r="A3" s="194" t="s">
        <v>70</v>
      </c>
      <c r="B3" t="s">
        <v>71</v>
      </c>
      <c r="C3" t="s">
        <v>80</v>
      </c>
    </row>
    <row r="4" spans="1:3" x14ac:dyDescent="0.25">
      <c r="A4" s="17" t="s">
        <v>74</v>
      </c>
    </row>
    <row r="26" spans="1:3" x14ac:dyDescent="0.25">
      <c r="A26" s="194" t="s">
        <v>70</v>
      </c>
      <c r="B26" t="s">
        <v>493</v>
      </c>
      <c r="C26" t="s">
        <v>80</v>
      </c>
    </row>
    <row r="27" spans="1:3" x14ac:dyDescent="0.25">
      <c r="A27" s="17" t="s">
        <v>74</v>
      </c>
    </row>
  </sheetData>
  <pageMargins left="0.7" right="0.7" top="0.75" bottom="0.75" header="0.3" footer="0.3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/>
  <dimension ref="A1:B52"/>
  <sheetViews>
    <sheetView workbookViewId="0"/>
  </sheetViews>
  <sheetFormatPr defaultRowHeight="15" x14ac:dyDescent="0.25"/>
  <cols>
    <col min="1" max="1" width="13.140625" bestFit="1" customWidth="1"/>
    <col min="2" max="2" width="24.140625" bestFit="1" customWidth="1"/>
    <col min="3" max="3" width="21" bestFit="1" customWidth="1"/>
    <col min="4" max="4" width="19" bestFit="1" customWidth="1"/>
    <col min="5" max="5" width="33.85546875" bestFit="1" customWidth="1"/>
  </cols>
  <sheetData>
    <row r="1" spans="1:2" x14ac:dyDescent="0.25">
      <c r="A1" s="194" t="s">
        <v>70</v>
      </c>
      <c r="B1" t="s">
        <v>75</v>
      </c>
    </row>
    <row r="2" spans="1:2" x14ac:dyDescent="0.25">
      <c r="A2" s="17" t="s">
        <v>74</v>
      </c>
    </row>
    <row r="24" spans="1:2" x14ac:dyDescent="0.25">
      <c r="A24" s="194" t="s">
        <v>70</v>
      </c>
      <c r="B24" t="s">
        <v>75</v>
      </c>
    </row>
    <row r="25" spans="1:2" x14ac:dyDescent="0.25">
      <c r="A25" s="17" t="s">
        <v>74</v>
      </c>
    </row>
    <row r="51" spans="1:2" x14ac:dyDescent="0.25">
      <c r="A51" s="194" t="s">
        <v>70</v>
      </c>
      <c r="B51" t="s">
        <v>77</v>
      </c>
    </row>
    <row r="52" spans="1:2" x14ac:dyDescent="0.25">
      <c r="A52" s="17" t="s">
        <v>74</v>
      </c>
    </row>
  </sheetData>
  <pageMargins left="0.7" right="0.7" top="0.75" bottom="0.75" header="0.3" footer="0.3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5cc32eb-4dfe-43ec-b460-60fdb8edb87e">
      <Terms xmlns="http://schemas.microsoft.com/office/infopath/2007/PartnerControls"/>
    </lcf76f155ced4ddcb4097134ff3c332f>
    <TaxCatchAll xmlns="e74c9283-3b3f-47cd-bdd2-6b504fb534be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9B4EB50298484FA552BCF2FE389575" ma:contentTypeVersion="16" ma:contentTypeDescription="Create a new document." ma:contentTypeScope="" ma:versionID="083da0ebe7ddfc6cf6c3a75dad99ba68">
  <xsd:schema xmlns:xsd="http://www.w3.org/2001/XMLSchema" xmlns:xs="http://www.w3.org/2001/XMLSchema" xmlns:p="http://schemas.microsoft.com/office/2006/metadata/properties" xmlns:ns2="85cc32eb-4dfe-43ec-b460-60fdb8edb87e" xmlns:ns3="e74c9283-3b3f-47cd-bdd2-6b504fb534be" targetNamespace="http://schemas.microsoft.com/office/2006/metadata/properties" ma:root="true" ma:fieldsID="d6037867fcd771581b27971edc5257fa" ns2:_="" ns3:_="">
    <xsd:import namespace="85cc32eb-4dfe-43ec-b460-60fdb8edb87e"/>
    <xsd:import namespace="e74c9283-3b3f-47cd-bdd2-6b504fb534b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cc32eb-4dfe-43ec-b460-60fdb8edb8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445841e-0990-4d77-b68d-78c600e24da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4c9283-3b3f-47cd-bdd2-6b504fb534b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cf5cbb66-b939-4f11-a5c0-a771f9b2c95d}" ma:internalName="TaxCatchAll" ma:showField="CatchAllData" ma:web="e74c9283-3b3f-47cd-bdd2-6b504fb534b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FA130FB-F834-4A99-9668-0B5F56F33E7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CE1D17A-577B-44F6-9865-B18B2AA28ADC}">
  <ds:schemaRefs>
    <ds:schemaRef ds:uri="http://schemas.microsoft.com/office/2006/metadata/properties"/>
    <ds:schemaRef ds:uri="http://schemas.microsoft.com/office/infopath/2007/PartnerControls"/>
    <ds:schemaRef ds:uri="85cc32eb-4dfe-43ec-b460-60fdb8edb87e"/>
    <ds:schemaRef ds:uri="e74c9283-3b3f-47cd-bdd2-6b504fb534be"/>
  </ds:schemaRefs>
</ds:datastoreItem>
</file>

<file path=customXml/itemProps3.xml><?xml version="1.0" encoding="utf-8"?>
<ds:datastoreItem xmlns:ds="http://schemas.openxmlformats.org/officeDocument/2006/customXml" ds:itemID="{ECF53989-2EB3-4260-83EA-0161A95669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cc32eb-4dfe-43ec-b460-60fdb8edb87e"/>
    <ds:schemaRef ds:uri="e74c9283-3b3f-47cd-bdd2-6b504fb534b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Sheet2</vt:lpstr>
      <vt:lpstr>Monthly</vt:lpstr>
      <vt:lpstr>Sheet4</vt:lpstr>
      <vt:lpstr>Utilization</vt:lpstr>
      <vt:lpstr>unoccupied cbm</vt:lpstr>
      <vt:lpstr>sellable</vt:lpstr>
      <vt:lpstr>SheetPannal1</vt:lpstr>
      <vt:lpstr>WH Occupancy Trend Analysis</vt:lpstr>
      <vt:lpstr>Cumulative Cost6</vt:lpstr>
      <vt:lpstr>All WH (2)</vt:lpstr>
      <vt:lpstr>DATA Enter</vt:lpstr>
      <vt:lpstr>Average Sellable Space (Monday)</vt:lpstr>
      <vt:lpstr>Sheet3</vt:lpstr>
      <vt:lpstr>Sheet1</vt:lpstr>
      <vt:lpstr>WH Occu. trend Analysis</vt:lpstr>
      <vt:lpstr>Summary Report</vt:lpstr>
      <vt:lpstr>Detailed Report</vt:lpstr>
      <vt:lpstr>NISHAN (Tuseday)</vt:lpstr>
      <vt:lpstr>MASTER_DATA</vt:lpstr>
      <vt:lpstr>Sellable.V Trend Analysis</vt:lpstr>
      <vt:lpstr>Sellable Space Index</vt:lpstr>
      <vt:lpstr>All WH</vt:lpstr>
      <vt:lpstr>New format -All WH</vt:lpstr>
      <vt:lpstr>Table</vt:lpstr>
      <vt:lpstr>100% Occupancy</vt:lpstr>
      <vt:lpstr>VAS</vt:lpstr>
      <vt:lpstr>kandana uti</vt:lpstr>
      <vt:lpstr>kandana sel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Thusitha Gamage</dc:creator>
  <cp:keywords/>
  <dc:description/>
  <cp:lastModifiedBy>Sathruhan Sivalogithan</cp:lastModifiedBy>
  <cp:revision/>
  <dcterms:created xsi:type="dcterms:W3CDTF">2018-10-31T04:13:01Z</dcterms:created>
  <dcterms:modified xsi:type="dcterms:W3CDTF">2023-07-25T10:24:44Z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0x010100339B4EB50298484FA552BCF2FE389575</vt:lpwstr>
  </property>
  <property fmtid="{D5CDD505-2E9C-101B-9397-08002B2CF9AE}" pid="3" name="MediaServiceImageTags">
    <vt:lpwstr/>
  </property>
</Properties>
</file>